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1.xml" ContentType="application/vnd.openxmlformats-officedocument.drawing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53222"/>
  <mc:AlternateContent xmlns:mc="http://schemas.openxmlformats.org/markup-compatibility/2006">
    <mc:Choice Requires="x15">
      <x15ac:absPath xmlns:x15ac="http://schemas.microsoft.com/office/spreadsheetml/2010/11/ac" url="D:\DATI RECUPERATI\Desktop\Specialistica\Costruzioni in zona sismica\Ghersi\Progetto\Excel\"/>
    </mc:Choice>
  </mc:AlternateContent>
  <bookViews>
    <workbookView xWindow="0" yWindow="0" windowWidth="20490" windowHeight="7755" firstSheet="2" activeTab="5"/>
  </bookViews>
  <sheets>
    <sheet name="Carichi unitari  Masse e forze" sheetId="1" r:id="rId1"/>
    <sheet name="caratteristiche della sollecita" sheetId="2" r:id="rId2"/>
    <sheet name="Masse di Piano " sheetId="12" r:id="rId3"/>
    <sheet name="Carichi sulle travi" sheetId="11" r:id="rId4"/>
    <sheet name="Dimensionamento Trave" sheetId="4" r:id="rId5"/>
    <sheet name="Dimensionamento Pilastro" sheetId="5" r:id="rId6"/>
    <sheet name="Approcc globale semplificato" sheetId="9" r:id="rId7"/>
    <sheet name="Rigidezze per tipo e Periodo" sheetId="7" r:id="rId8"/>
    <sheet name="Bilanciamento delle rigidezze" sheetId="8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5" l="1"/>
  <c r="G21" i="5"/>
  <c r="G20" i="5"/>
  <c r="B40" i="5"/>
  <c r="B39" i="5"/>
  <c r="F14" i="4"/>
  <c r="G14" i="4"/>
  <c r="H14" i="4"/>
  <c r="I14" i="4"/>
  <c r="F15" i="4"/>
  <c r="G15" i="4"/>
  <c r="H15" i="4"/>
  <c r="I15" i="4"/>
  <c r="F16" i="4"/>
  <c r="G16" i="4"/>
  <c r="H16" i="4"/>
  <c r="I16" i="4"/>
  <c r="F17" i="4"/>
  <c r="G17" i="4"/>
  <c r="H17" i="4"/>
  <c r="I17" i="4"/>
  <c r="I4" i="4"/>
  <c r="I10" i="4" s="1"/>
  <c r="G27" i="9" l="1"/>
  <c r="G26" i="9"/>
  <c r="G25" i="9"/>
  <c r="G24" i="9"/>
  <c r="G23" i="9"/>
  <c r="F28" i="9"/>
  <c r="F27" i="9"/>
  <c r="F26" i="9"/>
  <c r="F25" i="9"/>
  <c r="F24" i="9"/>
  <c r="E28" i="9"/>
  <c r="E27" i="9"/>
  <c r="E26" i="9"/>
  <c r="E25" i="9"/>
  <c r="E24" i="9"/>
  <c r="E23" i="9"/>
  <c r="D28" i="9"/>
  <c r="D27" i="9"/>
  <c r="D26" i="9"/>
  <c r="D25" i="9"/>
  <c r="D24" i="9"/>
  <c r="D23" i="9"/>
  <c r="H16" i="9"/>
  <c r="G18" i="9"/>
  <c r="G17" i="9"/>
  <c r="G16" i="9"/>
  <c r="G15" i="9"/>
  <c r="G14" i="9"/>
  <c r="F18" i="9"/>
  <c r="F17" i="9"/>
  <c r="F16" i="9"/>
  <c r="F15" i="9"/>
  <c r="F14" i="9"/>
  <c r="E18" i="9"/>
  <c r="E17" i="9"/>
  <c r="E16" i="9"/>
  <c r="E15" i="9"/>
  <c r="E14" i="9"/>
  <c r="D17" i="9"/>
  <c r="D15" i="9"/>
  <c r="D14" i="9"/>
  <c r="R9" i="9"/>
  <c r="T10" i="9" s="1"/>
  <c r="T8" i="9"/>
  <c r="R8" i="9"/>
  <c r="T9" i="9" s="1"/>
  <c r="T7" i="9"/>
  <c r="T5" i="9"/>
  <c r="P10" i="9"/>
  <c r="P9" i="9"/>
  <c r="N9" i="9"/>
  <c r="P8" i="9"/>
  <c r="N8" i="9"/>
  <c r="P7" i="9"/>
  <c r="P5" i="9"/>
  <c r="D7" i="9"/>
  <c r="R76" i="11" l="1"/>
  <c r="R81" i="11" s="1"/>
  <c r="R82" i="11" s="1"/>
  <c r="R83" i="11" s="1"/>
  <c r="R84" i="11" s="1"/>
  <c r="Q76" i="11"/>
  <c r="Q99" i="11"/>
  <c r="Q107" i="11" s="1"/>
  <c r="Q114" i="11" s="1"/>
  <c r="R99" i="11"/>
  <c r="R102" i="11"/>
  <c r="R115" i="11" s="1"/>
  <c r="Q102" i="11"/>
  <c r="Q115" i="11"/>
  <c r="R100" i="11"/>
  <c r="Q75" i="11"/>
  <c r="R72" i="11"/>
  <c r="Q72" i="11"/>
  <c r="R89" i="11"/>
  <c r="R90" i="11" s="1"/>
  <c r="Q88" i="11"/>
  <c r="Q78" i="11"/>
  <c r="Q85" i="11" s="1"/>
  <c r="Q86" i="11" s="1"/>
  <c r="R77" i="11"/>
  <c r="Q89" i="11"/>
  <c r="Q90" i="11" s="1"/>
  <c r="R75" i="11"/>
  <c r="R88" i="11" s="1"/>
  <c r="R73" i="11"/>
  <c r="R74" i="11" s="1"/>
  <c r="Q73" i="11"/>
  <c r="Q46" i="11"/>
  <c r="R45" i="11"/>
  <c r="R58" i="11" s="1"/>
  <c r="R59" i="11" s="1"/>
  <c r="Q45" i="11"/>
  <c r="Q58" i="11" s="1"/>
  <c r="Q59" i="11" s="1"/>
  <c r="R44" i="11"/>
  <c r="R57" i="11" s="1"/>
  <c r="Q44" i="11"/>
  <c r="Q57" i="11" s="1"/>
  <c r="Q42" i="11"/>
  <c r="Q43" i="11" s="1"/>
  <c r="Q61" i="11" s="1"/>
  <c r="R41" i="11"/>
  <c r="R42" i="11" s="1"/>
  <c r="Q41" i="11"/>
  <c r="Q49" i="11" s="1"/>
  <c r="Q56" i="11" s="1"/>
  <c r="R27" i="11"/>
  <c r="R28" i="11" s="1"/>
  <c r="R26" i="11"/>
  <c r="Q26" i="11"/>
  <c r="R19" i="11"/>
  <c r="R20" i="11" s="1"/>
  <c r="R21" i="11" s="1"/>
  <c r="R22" i="11" s="1"/>
  <c r="Q16" i="11"/>
  <c r="Q17" i="11" s="1"/>
  <c r="R13" i="11"/>
  <c r="R16" i="11" s="1"/>
  <c r="Q13" i="11"/>
  <c r="R15" i="11"/>
  <c r="Q15" i="11"/>
  <c r="R14" i="11"/>
  <c r="Q14" i="11"/>
  <c r="Q27" i="11" s="1"/>
  <c r="Q28" i="11" s="1"/>
  <c r="Q10" i="11"/>
  <c r="Q11" i="11" s="1"/>
  <c r="Q12" i="11" s="1"/>
  <c r="Q30" i="11" s="1"/>
  <c r="R10" i="11"/>
  <c r="R11" i="11" s="1"/>
  <c r="R12" i="11" s="1"/>
  <c r="R30" i="11" s="1"/>
  <c r="R23" i="11" l="1"/>
  <c r="R24" i="11" s="1"/>
  <c r="R17" i="11"/>
  <c r="R29" i="11"/>
  <c r="Q18" i="11"/>
  <c r="Q25" i="11" s="1"/>
  <c r="Q19" i="11"/>
  <c r="Q20" i="11" s="1"/>
  <c r="Q21" i="11" s="1"/>
  <c r="Q22" i="11" s="1"/>
  <c r="Q23" i="11"/>
  <c r="Q24" i="11" s="1"/>
  <c r="Q29" i="11"/>
  <c r="Q50" i="11"/>
  <c r="Q51" i="11" s="1"/>
  <c r="Q52" i="11" s="1"/>
  <c r="Q53" i="11" s="1"/>
  <c r="R18" i="11"/>
  <c r="R25" i="11" s="1"/>
  <c r="R101" i="11"/>
  <c r="R103" i="11" s="1"/>
  <c r="R118" i="11"/>
  <c r="Q100" i="11"/>
  <c r="Q101" i="11" s="1"/>
  <c r="Q103" i="11" s="1"/>
  <c r="Q108" i="11" s="1"/>
  <c r="Q109" i="11" s="1"/>
  <c r="Q110" i="11" s="1"/>
  <c r="Q111" i="11" s="1"/>
  <c r="R108" i="11"/>
  <c r="R109" i="11" s="1"/>
  <c r="R110" i="11" s="1"/>
  <c r="R111" i="11" s="1"/>
  <c r="Q105" i="11"/>
  <c r="R105" i="11"/>
  <c r="Q74" i="11"/>
  <c r="Q92" i="11" s="1"/>
  <c r="Q91" i="11"/>
  <c r="R92" i="11"/>
  <c r="R80" i="11"/>
  <c r="R87" i="11" s="1"/>
  <c r="Q80" i="11"/>
  <c r="Q87" i="11" s="1"/>
  <c r="Q77" i="11"/>
  <c r="Q79" i="11"/>
  <c r="Q81" i="11"/>
  <c r="Q82" i="11" s="1"/>
  <c r="Q83" i="11" s="1"/>
  <c r="Q84" i="11" s="1"/>
  <c r="R91" i="11"/>
  <c r="R78" i="11"/>
  <c r="R43" i="11"/>
  <c r="R60" i="11"/>
  <c r="Q60" i="11"/>
  <c r="R46" i="11"/>
  <c r="R50" i="11"/>
  <c r="R51" i="11" s="1"/>
  <c r="R52" i="11" s="1"/>
  <c r="R53" i="11" s="1"/>
  <c r="Q47" i="11"/>
  <c r="R47" i="11"/>
  <c r="L99" i="11"/>
  <c r="L122" i="11"/>
  <c r="Q104" i="11" l="1"/>
  <c r="Q116" i="11"/>
  <c r="Q117" i="11" s="1"/>
  <c r="R116" i="11"/>
  <c r="R117" i="11" s="1"/>
  <c r="R104" i="11"/>
  <c r="R112" i="11"/>
  <c r="R113" i="11" s="1"/>
  <c r="R106" i="11"/>
  <c r="Q112" i="11"/>
  <c r="Q113" i="11" s="1"/>
  <c r="Q106" i="11"/>
  <c r="Q119" i="11"/>
  <c r="Q118" i="11"/>
  <c r="R119" i="11"/>
  <c r="R107" i="11"/>
  <c r="R114" i="11" s="1"/>
  <c r="R85" i="11"/>
  <c r="R86" i="11" s="1"/>
  <c r="R79" i="11"/>
  <c r="R54" i="11"/>
  <c r="R55" i="11" s="1"/>
  <c r="R48" i="11"/>
  <c r="Q48" i="11"/>
  <c r="Q54" i="11"/>
  <c r="Q55" i="11" s="1"/>
  <c r="R61" i="11"/>
  <c r="R49" i="11"/>
  <c r="R56" i="11" s="1"/>
  <c r="D21" i="12"/>
  <c r="F21" i="12" s="1"/>
  <c r="H21" i="12" s="1"/>
  <c r="J21" i="12" s="1"/>
  <c r="L21" i="12" s="1"/>
  <c r="N21" i="12" s="1"/>
  <c r="C21" i="12"/>
  <c r="E21" i="12" s="1"/>
  <c r="G21" i="12" s="1"/>
  <c r="I21" i="12" s="1"/>
  <c r="K21" i="12" s="1"/>
  <c r="M21" i="12" s="1"/>
  <c r="M8" i="12" l="1"/>
  <c r="N8" i="12" s="1"/>
  <c r="I44" i="12"/>
  <c r="K44" i="12" s="1"/>
  <c r="I43" i="12"/>
  <c r="K43" i="12" s="1"/>
  <c r="I42" i="12"/>
  <c r="K42" i="12" s="1"/>
  <c r="I41" i="12"/>
  <c r="K41" i="12" s="1"/>
  <c r="I40" i="12"/>
  <c r="K40" i="12" s="1"/>
  <c r="I39" i="12"/>
  <c r="K39" i="12" s="1"/>
  <c r="G4" i="1"/>
  <c r="D19" i="12"/>
  <c r="F18" i="12"/>
  <c r="H17" i="12"/>
  <c r="J16" i="12"/>
  <c r="L15" i="12"/>
  <c r="N14" i="12"/>
  <c r="M20" i="12"/>
  <c r="E20" i="12"/>
  <c r="G20" i="12"/>
  <c r="I20" i="12"/>
  <c r="K20" i="12"/>
  <c r="C20" i="12"/>
  <c r="D20" i="12" s="1"/>
  <c r="F20" i="12" s="1"/>
  <c r="H20" i="12" s="1"/>
  <c r="J20" i="12" s="1"/>
  <c r="L20" i="12" s="1"/>
  <c r="N20" i="12" s="1"/>
  <c r="E45" i="12" l="1"/>
  <c r="E13" i="12"/>
  <c r="G13" i="12"/>
  <c r="I13" i="12"/>
  <c r="K13" i="12"/>
  <c r="M13" i="12"/>
  <c r="C13" i="12"/>
  <c r="D13" i="12" s="1"/>
  <c r="F13" i="12" s="1"/>
  <c r="H13" i="12" s="1"/>
  <c r="J13" i="12" s="1"/>
  <c r="L13" i="12" s="1"/>
  <c r="N13" i="12" s="1"/>
  <c r="E10" i="12"/>
  <c r="G10" i="12"/>
  <c r="I10" i="12"/>
  <c r="K10" i="12"/>
  <c r="M10" i="12"/>
  <c r="E11" i="12"/>
  <c r="G11" i="12"/>
  <c r="I11" i="12"/>
  <c r="K11" i="12"/>
  <c r="M11" i="12"/>
  <c r="E12" i="12"/>
  <c r="G12" i="12"/>
  <c r="I12" i="12"/>
  <c r="K12" i="12"/>
  <c r="M12" i="12"/>
  <c r="C11" i="12"/>
  <c r="J11" i="12" s="1"/>
  <c r="L11" i="12" s="1"/>
  <c r="C12" i="12"/>
  <c r="N12" i="12" s="1"/>
  <c r="C10" i="12"/>
  <c r="D10" i="12" s="1"/>
  <c r="F10" i="12" s="1"/>
  <c r="H10" i="12" s="1"/>
  <c r="E9" i="12"/>
  <c r="G9" i="12"/>
  <c r="I9" i="12"/>
  <c r="K9" i="12"/>
  <c r="M9" i="12"/>
  <c r="M6" i="12" s="1"/>
  <c r="E7" i="12"/>
  <c r="E4" i="12" s="1"/>
  <c r="F4" i="12" s="1"/>
  <c r="C9" i="12"/>
  <c r="F7" i="12" l="1"/>
  <c r="H7" i="12" s="1"/>
  <c r="J7" i="12" s="1"/>
  <c r="L7" i="12" s="1"/>
  <c r="D9" i="12"/>
  <c r="F9" i="12" s="1"/>
  <c r="H9" i="12" s="1"/>
  <c r="J9" i="12" s="1"/>
  <c r="L9" i="12" s="1"/>
  <c r="N9" i="12" s="1"/>
  <c r="C5" i="12"/>
  <c r="C32" i="12" s="1"/>
  <c r="F44" i="12" s="1"/>
  <c r="G7" i="12"/>
  <c r="S35" i="11"/>
  <c r="S66" i="11" s="1"/>
  <c r="S36" i="11"/>
  <c r="S67" i="11" s="1"/>
  <c r="I7" i="12" l="1"/>
  <c r="G4" i="12"/>
  <c r="G32" i="12" s="1"/>
  <c r="F42" i="12" s="1"/>
  <c r="E32" i="12"/>
  <c r="F43" i="12" s="1"/>
  <c r="D5" i="12"/>
  <c r="D23" i="12" s="1"/>
  <c r="K3" i="8"/>
  <c r="K4" i="8"/>
  <c r="K5" i="8"/>
  <c r="K6" i="8"/>
  <c r="K7" i="8"/>
  <c r="K2" i="8"/>
  <c r="K7" i="12" l="1"/>
  <c r="K4" i="12" s="1"/>
  <c r="K32" i="12" s="1"/>
  <c r="F40" i="12" s="1"/>
  <c r="I4" i="12"/>
  <c r="I32" i="12" s="1"/>
  <c r="F41" i="12" s="1"/>
  <c r="D24" i="12"/>
  <c r="C31" i="12" s="1"/>
  <c r="L44" i="12" s="1"/>
  <c r="C30" i="12"/>
  <c r="H4" i="12"/>
  <c r="F23" i="12"/>
  <c r="L124" i="11"/>
  <c r="L127" i="11" s="1"/>
  <c r="L128" i="11" s="1"/>
  <c r="L129" i="11" s="1"/>
  <c r="L123" i="11"/>
  <c r="M122" i="11"/>
  <c r="M123" i="11" s="1"/>
  <c r="M124" i="11" s="1"/>
  <c r="M127" i="11" s="1"/>
  <c r="M128" i="11" s="1"/>
  <c r="M129" i="11" s="1"/>
  <c r="H113" i="11"/>
  <c r="H106" i="11"/>
  <c r="L106" i="11" s="1"/>
  <c r="M99" i="11"/>
  <c r="H126" i="11"/>
  <c r="L126" i="11" s="1"/>
  <c r="I125" i="11"/>
  <c r="M125" i="11" s="1"/>
  <c r="M106" i="11" l="1"/>
  <c r="M126" i="11"/>
  <c r="L125" i="11"/>
  <c r="C33" i="12"/>
  <c r="H44" i="12" s="1"/>
  <c r="J44" i="12"/>
  <c r="F24" i="12"/>
  <c r="E31" i="12" s="1"/>
  <c r="L43" i="12" s="1"/>
  <c r="E30" i="12"/>
  <c r="J4" i="12"/>
  <c r="H23" i="12"/>
  <c r="I119" i="11"/>
  <c r="H114" i="11"/>
  <c r="I113" i="11"/>
  <c r="M113" i="11" s="1"/>
  <c r="M114" i="11" s="1"/>
  <c r="H112" i="11"/>
  <c r="H111" i="11"/>
  <c r="V35" i="11"/>
  <c r="I118" i="11"/>
  <c r="I120" i="11" s="1"/>
  <c r="I117" i="11"/>
  <c r="I112" i="11"/>
  <c r="I111" i="11"/>
  <c r="I115" i="11" s="1"/>
  <c r="I110" i="11"/>
  <c r="I116" i="11" s="1"/>
  <c r="H110" i="11"/>
  <c r="I105" i="11"/>
  <c r="I107" i="11" s="1"/>
  <c r="H105" i="11"/>
  <c r="H107" i="11" s="1"/>
  <c r="I104" i="11"/>
  <c r="I108" i="11" s="1"/>
  <c r="H104" i="11"/>
  <c r="H108" i="11" s="1"/>
  <c r="N102" i="11"/>
  <c r="I103" i="11"/>
  <c r="I109" i="11" s="1"/>
  <c r="H103" i="11"/>
  <c r="J102" i="11"/>
  <c r="J101" i="11"/>
  <c r="H98" i="11"/>
  <c r="H100" i="11" s="1"/>
  <c r="H97" i="11"/>
  <c r="H101" i="11" s="1"/>
  <c r="H96" i="11"/>
  <c r="M92" i="11"/>
  <c r="L92" i="11"/>
  <c r="M89" i="11"/>
  <c r="L89" i="11"/>
  <c r="N71" i="11"/>
  <c r="J87" i="11"/>
  <c r="J85" i="11"/>
  <c r="J88" i="11" s="1"/>
  <c r="J80" i="11"/>
  <c r="J70" i="11"/>
  <c r="J69" i="11"/>
  <c r="J68" i="11"/>
  <c r="H102" i="11" l="1"/>
  <c r="M96" i="11"/>
  <c r="M97" i="11" s="1"/>
  <c r="L96" i="11"/>
  <c r="L110" i="11"/>
  <c r="L111" i="11" s="1"/>
  <c r="L115" i="11" s="1"/>
  <c r="L116" i="11" s="1"/>
  <c r="M110" i="11"/>
  <c r="I121" i="11"/>
  <c r="L117" i="11"/>
  <c r="M117" i="11"/>
  <c r="L119" i="11"/>
  <c r="M119" i="11"/>
  <c r="I114" i="11"/>
  <c r="L112" i="11"/>
  <c r="M112" i="11"/>
  <c r="H109" i="11"/>
  <c r="M103" i="11"/>
  <c r="M104" i="11" s="1"/>
  <c r="M105" i="11" s="1"/>
  <c r="M107" i="11" s="1"/>
  <c r="M108" i="11" s="1"/>
  <c r="M109" i="11" s="1"/>
  <c r="L103" i="11"/>
  <c r="L104" i="11" s="1"/>
  <c r="L105" i="11" s="1"/>
  <c r="L107" i="11" s="1"/>
  <c r="L108" i="11" s="1"/>
  <c r="L109" i="11" s="1"/>
  <c r="L113" i="11"/>
  <c r="L114" i="11" s="1"/>
  <c r="E33" i="12"/>
  <c r="H43" i="12" s="1"/>
  <c r="J43" i="12"/>
  <c r="G30" i="12"/>
  <c r="H24" i="12"/>
  <c r="G31" i="12" s="1"/>
  <c r="L42" i="12" s="1"/>
  <c r="L4" i="12"/>
  <c r="L23" i="12" s="1"/>
  <c r="J23" i="12"/>
  <c r="J82" i="11"/>
  <c r="H115" i="11"/>
  <c r="H116" i="11"/>
  <c r="L121" i="11" l="1"/>
  <c r="L118" i="11"/>
  <c r="L120" i="11" s="1"/>
  <c r="L102" i="11"/>
  <c r="L97" i="11"/>
  <c r="N96" i="11"/>
  <c r="M102" i="11"/>
  <c r="M98" i="11"/>
  <c r="M118" i="11"/>
  <c r="M120" i="11" s="1"/>
  <c r="M121" i="11"/>
  <c r="M111" i="11"/>
  <c r="M115" i="11" s="1"/>
  <c r="M116" i="11"/>
  <c r="G33" i="12"/>
  <c r="H42" i="12" s="1"/>
  <c r="J42" i="12"/>
  <c r="I30" i="12"/>
  <c r="J24" i="12"/>
  <c r="I31" i="12" s="1"/>
  <c r="L41" i="12" s="1"/>
  <c r="K30" i="12"/>
  <c r="L24" i="12"/>
  <c r="K31" i="12" s="1"/>
  <c r="L40" i="12" s="1"/>
  <c r="I90" i="11"/>
  <c r="I86" i="11"/>
  <c r="I87" i="11" s="1"/>
  <c r="I85" i="11"/>
  <c r="I88" i="11" s="1"/>
  <c r="I80" i="11"/>
  <c r="I79" i="11"/>
  <c r="I83" i="11" s="1"/>
  <c r="H79" i="11"/>
  <c r="I78" i="11"/>
  <c r="I84" i="11" s="1"/>
  <c r="H78" i="11"/>
  <c r="I73" i="11"/>
  <c r="I75" i="11" s="1"/>
  <c r="H73" i="11"/>
  <c r="H75" i="11" s="1"/>
  <c r="I72" i="11"/>
  <c r="I76" i="11" s="1"/>
  <c r="H72" i="11"/>
  <c r="H76" i="11" s="1"/>
  <c r="I71" i="11"/>
  <c r="I77" i="11" s="1"/>
  <c r="H71" i="11"/>
  <c r="H77" i="11" s="1"/>
  <c r="H67" i="11"/>
  <c r="V66" i="11"/>
  <c r="H66" i="11"/>
  <c r="H65" i="11"/>
  <c r="L98" i="11" l="1"/>
  <c r="L100" i="11" s="1"/>
  <c r="L101" i="11"/>
  <c r="M101" i="11"/>
  <c r="M100" i="11"/>
  <c r="M78" i="11"/>
  <c r="M79" i="11" s="1"/>
  <c r="M83" i="11" s="1"/>
  <c r="L78" i="11"/>
  <c r="L79" i="11" s="1"/>
  <c r="I33" i="12"/>
  <c r="H41" i="12" s="1"/>
  <c r="J41" i="12"/>
  <c r="K33" i="12"/>
  <c r="H40" i="12" s="1"/>
  <c r="J40" i="12"/>
  <c r="L66" i="11"/>
  <c r="M66" i="11"/>
  <c r="L77" i="11"/>
  <c r="M77" i="11"/>
  <c r="H83" i="11"/>
  <c r="L83" i="11"/>
  <c r="L87" i="11"/>
  <c r="L88" i="11" s="1"/>
  <c r="M87" i="11"/>
  <c r="M88" i="11" s="1"/>
  <c r="M73" i="11"/>
  <c r="L73" i="11"/>
  <c r="L67" i="11"/>
  <c r="M67" i="11"/>
  <c r="H84" i="11"/>
  <c r="L84" i="11"/>
  <c r="M90" i="11"/>
  <c r="L90" i="11"/>
  <c r="H69" i="11"/>
  <c r="L75" i="11"/>
  <c r="M75" i="11"/>
  <c r="L71" i="11"/>
  <c r="M71" i="11"/>
  <c r="M76" i="11"/>
  <c r="L76" i="11"/>
  <c r="I82" i="11"/>
  <c r="M80" i="11"/>
  <c r="M82" i="11" s="1"/>
  <c r="L80" i="11"/>
  <c r="L82" i="11" s="1"/>
  <c r="L85" i="11"/>
  <c r="L86" i="11" s="1"/>
  <c r="M85" i="11"/>
  <c r="M86" i="11" s="1"/>
  <c r="H70" i="11"/>
  <c r="L65" i="11"/>
  <c r="N65" i="11" s="1"/>
  <c r="M65" i="11"/>
  <c r="H68" i="11"/>
  <c r="L72" i="11"/>
  <c r="M72" i="11"/>
  <c r="H91" i="11"/>
  <c r="L27" i="11"/>
  <c r="L30" i="11" s="1"/>
  <c r="M27" i="11"/>
  <c r="M30" i="11" s="1"/>
  <c r="I28" i="11"/>
  <c r="H29" i="11" s="1"/>
  <c r="I24" i="11"/>
  <c r="I25" i="11" s="1"/>
  <c r="I23" i="11"/>
  <c r="I26" i="11" s="1"/>
  <c r="J20" i="11"/>
  <c r="I18" i="11"/>
  <c r="I20" i="11" s="1"/>
  <c r="I17" i="11"/>
  <c r="I21" i="11" s="1"/>
  <c r="H17" i="11"/>
  <c r="H21" i="11" s="1"/>
  <c r="I16" i="11"/>
  <c r="I22" i="11" s="1"/>
  <c r="H16" i="11"/>
  <c r="H22" i="11" s="1"/>
  <c r="I11" i="11"/>
  <c r="I13" i="11" s="1"/>
  <c r="H11" i="11"/>
  <c r="H13" i="11" s="1"/>
  <c r="I10" i="11"/>
  <c r="I14" i="11" s="1"/>
  <c r="H10" i="11"/>
  <c r="H14" i="11" s="1"/>
  <c r="I9" i="11"/>
  <c r="H9" i="11"/>
  <c r="H15" i="11" s="1"/>
  <c r="H5" i="11"/>
  <c r="H6" i="11" s="1"/>
  <c r="V4" i="11"/>
  <c r="H4" i="11"/>
  <c r="H7" i="11" s="1"/>
  <c r="H3" i="11"/>
  <c r="M58" i="11"/>
  <c r="M61" i="11" s="1"/>
  <c r="L58" i="11"/>
  <c r="L61" i="11" s="1"/>
  <c r="I59" i="11"/>
  <c r="M59" i="11" s="1"/>
  <c r="M60" i="11" s="1"/>
  <c r="J56" i="11"/>
  <c r="I55" i="11"/>
  <c r="I56" i="11" s="1"/>
  <c r="J54" i="11"/>
  <c r="I54" i="11"/>
  <c r="L23" i="11" s="1"/>
  <c r="L26" i="11" s="1"/>
  <c r="J49" i="11"/>
  <c r="J51" i="11" s="1"/>
  <c r="I49" i="11"/>
  <c r="I51" i="11" s="1"/>
  <c r="I48" i="11"/>
  <c r="I52" i="11" s="1"/>
  <c r="H48" i="11"/>
  <c r="H52" i="11" s="1"/>
  <c r="I47" i="11"/>
  <c r="I53" i="11" s="1"/>
  <c r="H47" i="11"/>
  <c r="I42" i="11"/>
  <c r="I44" i="11" s="1"/>
  <c r="H42" i="11"/>
  <c r="H44" i="11" s="1"/>
  <c r="I41" i="11"/>
  <c r="I45" i="11" s="1"/>
  <c r="H41" i="11"/>
  <c r="H45" i="11" s="1"/>
  <c r="I40" i="11"/>
  <c r="I46" i="11" s="1"/>
  <c r="H40" i="11"/>
  <c r="J39" i="11"/>
  <c r="J38" i="11"/>
  <c r="J37" i="11"/>
  <c r="H36" i="11"/>
  <c r="H37" i="11" s="1"/>
  <c r="H35" i="11"/>
  <c r="H38" i="11" s="1"/>
  <c r="H34" i="11"/>
  <c r="M34" i="11" s="1"/>
  <c r="L40" i="11" l="1"/>
  <c r="L46" i="11" s="1"/>
  <c r="M84" i="11"/>
  <c r="Q5" i="11"/>
  <c r="Q4" i="11"/>
  <c r="R4" i="11"/>
  <c r="R5" i="11"/>
  <c r="R36" i="11" s="1"/>
  <c r="R67" i="11" s="1"/>
  <c r="U67" i="11" s="1"/>
  <c r="M81" i="11" s="1"/>
  <c r="M47" i="11"/>
  <c r="M53" i="11" s="1"/>
  <c r="L47" i="11"/>
  <c r="L48" i="11" s="1"/>
  <c r="L52" i="11" s="1"/>
  <c r="L16" i="11"/>
  <c r="L22" i="11" s="1"/>
  <c r="M16" i="11"/>
  <c r="M17" i="11" s="1"/>
  <c r="M21" i="11" s="1"/>
  <c r="M49" i="11"/>
  <c r="M51" i="11" s="1"/>
  <c r="M23" i="11"/>
  <c r="M26" i="11" s="1"/>
  <c r="L3" i="11"/>
  <c r="L4" i="11" s="1"/>
  <c r="M9" i="11"/>
  <c r="M15" i="11" s="1"/>
  <c r="L28" i="11"/>
  <c r="L29" i="11" s="1"/>
  <c r="M3" i="11"/>
  <c r="L49" i="11"/>
  <c r="L51" i="11" s="1"/>
  <c r="M54" i="11"/>
  <c r="M55" i="11" s="1"/>
  <c r="M56" i="11" s="1"/>
  <c r="H53" i="11"/>
  <c r="L18" i="11"/>
  <c r="L20" i="11" s="1"/>
  <c r="M57" i="11"/>
  <c r="M39" i="11"/>
  <c r="M35" i="11"/>
  <c r="M38" i="11" s="1"/>
  <c r="L34" i="11"/>
  <c r="L35" i="11" s="1"/>
  <c r="L38" i="11" s="1"/>
  <c r="J57" i="11"/>
  <c r="H8" i="11"/>
  <c r="I15" i="11"/>
  <c r="L9" i="11"/>
  <c r="L70" i="11"/>
  <c r="M70" i="11"/>
  <c r="H39" i="11"/>
  <c r="L54" i="11"/>
  <c r="L55" i="11" s="1"/>
  <c r="L56" i="11" s="1"/>
  <c r="L69" i="11"/>
  <c r="M69" i="11"/>
  <c r="M40" i="11"/>
  <c r="M46" i="11" s="1"/>
  <c r="L59" i="11"/>
  <c r="L60" i="11" s="1"/>
  <c r="M28" i="11"/>
  <c r="M29" i="11" s="1"/>
  <c r="M18" i="11"/>
  <c r="M20" i="11" s="1"/>
  <c r="M68" i="11"/>
  <c r="L68" i="11"/>
  <c r="H46" i="11"/>
  <c r="I57" i="11"/>
  <c r="H60" i="11"/>
  <c r="L91" i="11"/>
  <c r="M91" i="11"/>
  <c r="M24" i="11"/>
  <c r="M25" i="11" s="1"/>
  <c r="L24" i="11"/>
  <c r="L25" i="11" s="1"/>
  <c r="M10" i="11"/>
  <c r="L17" i="11" l="1"/>
  <c r="L21" i="11" s="1"/>
  <c r="M48" i="11"/>
  <c r="M52" i="11" s="1"/>
  <c r="M36" i="11"/>
  <c r="M37" i="11" s="1"/>
  <c r="L8" i="11"/>
  <c r="U4" i="11"/>
  <c r="R35" i="11"/>
  <c r="R66" i="11" s="1"/>
  <c r="U66" i="11" s="1"/>
  <c r="M74" i="11" s="1"/>
  <c r="M22" i="11"/>
  <c r="T4" i="11"/>
  <c r="Q35" i="11"/>
  <c r="Q66" i="11" s="1"/>
  <c r="T66" i="11" s="1"/>
  <c r="L74" i="11" s="1"/>
  <c r="Q36" i="11"/>
  <c r="Q67" i="11" s="1"/>
  <c r="T67" i="11" s="1"/>
  <c r="L81" i="11" s="1"/>
  <c r="T5" i="11"/>
  <c r="L41" i="11"/>
  <c r="L45" i="11" s="1"/>
  <c r="L53" i="11"/>
  <c r="L36" i="11"/>
  <c r="L37" i="11" s="1"/>
  <c r="M8" i="11"/>
  <c r="M4" i="11"/>
  <c r="L15" i="11"/>
  <c r="L10" i="11"/>
  <c r="M41" i="11"/>
  <c r="M42" i="11" s="1"/>
  <c r="M44" i="11" s="1"/>
  <c r="L39" i="11"/>
  <c r="L57" i="11"/>
  <c r="M14" i="11"/>
  <c r="M11" i="11"/>
  <c r="M13" i="11" s="1"/>
  <c r="L7" i="11"/>
  <c r="L5" i="11"/>
  <c r="L6" i="11" s="1"/>
  <c r="L42" i="11" l="1"/>
  <c r="L44" i="11" s="1"/>
  <c r="M12" i="11"/>
  <c r="U35" i="11"/>
  <c r="M43" i="11" s="1"/>
  <c r="U5" i="11"/>
  <c r="T36" i="11"/>
  <c r="L50" i="11" s="1"/>
  <c r="L19" i="11"/>
  <c r="L12" i="11"/>
  <c r="T35" i="11"/>
  <c r="L43" i="11" s="1"/>
  <c r="M45" i="11"/>
  <c r="M7" i="11"/>
  <c r="M5" i="11"/>
  <c r="M6" i="11" s="1"/>
  <c r="L14" i="11"/>
  <c r="L11" i="11"/>
  <c r="L13" i="11" s="1"/>
  <c r="J2" i="8"/>
  <c r="U36" i="11" l="1"/>
  <c r="M50" i="11" s="1"/>
  <c r="M19" i="11"/>
  <c r="E12" i="8"/>
  <c r="C27" i="4" l="1"/>
  <c r="C28" i="4"/>
  <c r="C29" i="4"/>
  <c r="C30" i="4"/>
  <c r="C31" i="4"/>
  <c r="C26" i="4"/>
  <c r="U33" i="4" l="1"/>
  <c r="R33" i="4"/>
  <c r="U32" i="4"/>
  <c r="R32" i="4"/>
  <c r="T32" i="4" s="1"/>
  <c r="U27" i="4"/>
  <c r="R27" i="4"/>
  <c r="U26" i="4"/>
  <c r="R26" i="4"/>
  <c r="T26" i="4" s="1"/>
  <c r="U21" i="4"/>
  <c r="R21" i="4"/>
  <c r="U20" i="4"/>
  <c r="R20" i="4"/>
  <c r="T20" i="4" s="1"/>
  <c r="U15" i="4"/>
  <c r="R15" i="4"/>
  <c r="U14" i="4"/>
  <c r="R14" i="4"/>
  <c r="T14" i="4" s="1"/>
  <c r="U9" i="4"/>
  <c r="R9" i="4"/>
  <c r="U8" i="4"/>
  <c r="R8" i="4"/>
  <c r="T8" i="4" s="1"/>
  <c r="G10" i="4"/>
  <c r="G22" i="4" s="1"/>
  <c r="G28" i="4" s="1"/>
  <c r="G34" i="4" s="1"/>
  <c r="G11" i="4"/>
  <c r="G23" i="4" s="1"/>
  <c r="G29" i="4" s="1"/>
  <c r="G35" i="4" s="1"/>
  <c r="F10" i="4"/>
  <c r="F22" i="4" s="1"/>
  <c r="F28" i="4" s="1"/>
  <c r="F34" i="4" s="1"/>
  <c r="F11" i="4"/>
  <c r="F23" i="4" s="1"/>
  <c r="F29" i="4" s="1"/>
  <c r="F35" i="4" s="1"/>
  <c r="F8" i="4"/>
  <c r="F20" i="4" s="1"/>
  <c r="F26" i="4" s="1"/>
  <c r="F32" i="4" s="1"/>
  <c r="G10" i="2" l="1"/>
  <c r="F13" i="8" l="1"/>
  <c r="F14" i="8"/>
  <c r="F15" i="8"/>
  <c r="F16" i="8"/>
  <c r="F17" i="8"/>
  <c r="F12" i="8"/>
  <c r="J3" i="8"/>
  <c r="E13" i="8" s="1"/>
  <c r="J4" i="8"/>
  <c r="E14" i="8" s="1"/>
  <c r="J5" i="8"/>
  <c r="E15" i="8" s="1"/>
  <c r="J6" i="8"/>
  <c r="E16" i="8" s="1"/>
  <c r="J7" i="8"/>
  <c r="E17" i="8" s="1"/>
  <c r="D10" i="9" l="1"/>
  <c r="F9" i="9" s="1"/>
  <c r="H10" i="9" s="1"/>
  <c r="J9" i="9" s="1"/>
  <c r="J8" i="9"/>
  <c r="F8" i="9"/>
  <c r="D8" i="9"/>
  <c r="H8" i="9" s="1"/>
  <c r="L8" i="9" s="1"/>
  <c r="B8" i="9"/>
  <c r="H7" i="9"/>
  <c r="L7" i="9" s="1"/>
  <c r="H6" i="9"/>
  <c r="L5" i="9"/>
  <c r="H5" i="9"/>
  <c r="D5" i="9"/>
  <c r="D19" i="9" l="1"/>
  <c r="D9" i="9"/>
  <c r="D16" i="9"/>
  <c r="L9" i="9"/>
  <c r="F23" i="9" s="1"/>
  <c r="D18" i="9"/>
  <c r="L10" i="9"/>
  <c r="H9" i="9"/>
  <c r="E19" i="9"/>
  <c r="F19" i="9" l="1"/>
  <c r="H27" i="9"/>
  <c r="E47" i="9" s="1"/>
  <c r="H24" i="9"/>
  <c r="E44" i="9" s="1"/>
  <c r="H28" i="9"/>
  <c r="E48" i="9" s="1"/>
  <c r="H18" i="9"/>
  <c r="E36" i="9" s="1"/>
  <c r="H19" i="9"/>
  <c r="E37" i="9" s="1"/>
  <c r="E34" i="9" l="1"/>
  <c r="H17" i="9"/>
  <c r="E35" i="9" s="1"/>
  <c r="H14" i="9"/>
  <c r="E32" i="9" s="1"/>
  <c r="H23" i="9"/>
  <c r="E43" i="9" s="1"/>
  <c r="H26" i="9"/>
  <c r="E46" i="9" s="1"/>
  <c r="H25" i="9"/>
  <c r="E45" i="9" s="1"/>
  <c r="H15" i="9"/>
  <c r="E33" i="9" s="1"/>
  <c r="H10" i="5"/>
  <c r="G10" i="5"/>
  <c r="E10" i="5"/>
  <c r="L10" i="5"/>
  <c r="K10" i="5"/>
  <c r="J10" i="5"/>
  <c r="I10" i="5"/>
  <c r="F10" i="5"/>
  <c r="L8" i="5"/>
  <c r="K8" i="5"/>
  <c r="J8" i="5"/>
  <c r="I8" i="5"/>
  <c r="H8" i="5"/>
  <c r="G8" i="5"/>
  <c r="F8" i="5"/>
  <c r="E8" i="5"/>
  <c r="L7" i="5"/>
  <c r="K7" i="5"/>
  <c r="J7" i="5"/>
  <c r="I7" i="5"/>
  <c r="H7" i="5"/>
  <c r="G7" i="5"/>
  <c r="F7" i="5"/>
  <c r="E7" i="5"/>
  <c r="L4" i="5"/>
  <c r="K4" i="5"/>
  <c r="J4" i="5"/>
  <c r="I4" i="5"/>
  <c r="H4" i="5"/>
  <c r="G4" i="5"/>
  <c r="F4" i="5"/>
  <c r="E4" i="5"/>
  <c r="I3" i="5"/>
  <c r="I9" i="5" s="1"/>
  <c r="J3" i="5"/>
  <c r="J9" i="5" s="1"/>
  <c r="K3" i="5"/>
  <c r="K9" i="5" s="1"/>
  <c r="L3" i="5"/>
  <c r="L9" i="5" s="1"/>
  <c r="H3" i="5"/>
  <c r="H9" i="5" s="1"/>
  <c r="G3" i="5"/>
  <c r="G9" i="5" s="1"/>
  <c r="F3" i="5"/>
  <c r="F9" i="5" s="1"/>
  <c r="E3" i="5"/>
  <c r="L2" i="5"/>
  <c r="K2" i="5"/>
  <c r="J2" i="5"/>
  <c r="I2" i="5"/>
  <c r="H2" i="5"/>
  <c r="E2" i="5"/>
  <c r="G2" i="5"/>
  <c r="F2" i="5"/>
  <c r="E9" i="5" l="1"/>
  <c r="B3" i="5"/>
  <c r="C3" i="5"/>
  <c r="B4" i="5"/>
  <c r="C4" i="5"/>
  <c r="B5" i="5"/>
  <c r="C5" i="5"/>
  <c r="B6" i="5"/>
  <c r="C6" i="5"/>
  <c r="B7" i="5"/>
  <c r="C7" i="5"/>
  <c r="B8" i="5"/>
  <c r="C8" i="5"/>
  <c r="B9" i="5"/>
  <c r="C9" i="5"/>
  <c r="B10" i="5"/>
  <c r="C10" i="5"/>
  <c r="C2" i="5"/>
  <c r="B2" i="5"/>
  <c r="B14" i="5" l="1"/>
  <c r="C14" i="5" s="1"/>
  <c r="B20" i="5"/>
  <c r="C20" i="5" s="1"/>
  <c r="B16" i="5"/>
  <c r="C16" i="5" s="1"/>
  <c r="B15" i="5"/>
  <c r="C15" i="5" s="1"/>
  <c r="B22" i="5"/>
  <c r="C22" i="5" s="1"/>
  <c r="H19" i="5" s="1"/>
  <c r="B21" i="5"/>
  <c r="C21" i="5" s="1"/>
  <c r="B23" i="5"/>
  <c r="C23" i="5" s="1"/>
  <c r="U2" i="4"/>
  <c r="R3" i="4"/>
  <c r="R2" i="4"/>
  <c r="T2" i="4" s="1"/>
  <c r="U3" i="4"/>
  <c r="H5" i="4"/>
  <c r="H11" i="4" s="1"/>
  <c r="H23" i="4" s="1"/>
  <c r="H29" i="4" s="1"/>
  <c r="H35" i="4" s="1"/>
  <c r="L5" i="4"/>
  <c r="L11" i="4" s="1"/>
  <c r="L17" i="4" s="1"/>
  <c r="L23" i="4" s="1"/>
  <c r="L29" i="4" s="1"/>
  <c r="L35" i="4" s="1"/>
  <c r="L3" i="4"/>
  <c r="L9" i="4" s="1"/>
  <c r="L15" i="4" s="1"/>
  <c r="L21" i="4" s="1"/>
  <c r="L27" i="4" s="1"/>
  <c r="L33" i="4" s="1"/>
  <c r="L4" i="4"/>
  <c r="L10" i="4" s="1"/>
  <c r="L16" i="4" s="1"/>
  <c r="L22" i="4" s="1"/>
  <c r="L28" i="4" s="1"/>
  <c r="L34" i="4" s="1"/>
  <c r="L8" i="4"/>
  <c r="L14" i="4" s="1"/>
  <c r="L20" i="4" s="1"/>
  <c r="L26" i="4" s="1"/>
  <c r="L32" i="4" s="1"/>
  <c r="I5" i="4"/>
  <c r="I11" i="4" s="1"/>
  <c r="H4" i="4"/>
  <c r="G3" i="4"/>
  <c r="I3" i="4" s="1"/>
  <c r="I9" i="4" s="1"/>
  <c r="F3" i="4"/>
  <c r="G2" i="4"/>
  <c r="I2" i="4" s="1"/>
  <c r="I8" i="4" s="1"/>
  <c r="H2" i="4"/>
  <c r="H8" i="4" s="1"/>
  <c r="H20" i="4" s="1"/>
  <c r="H26" i="4" s="1"/>
  <c r="H32" i="4" s="1"/>
  <c r="I23" i="4" l="1"/>
  <c r="I29" i="4" s="1"/>
  <c r="I35" i="4" s="1"/>
  <c r="I22" i="4"/>
  <c r="I28" i="4" s="1"/>
  <c r="I34" i="4" s="1"/>
  <c r="H20" i="5"/>
  <c r="H21" i="5" s="1"/>
  <c r="H22" i="5" s="1"/>
  <c r="H23" i="5" s="1"/>
  <c r="G9" i="4"/>
  <c r="G21" i="4" s="1"/>
  <c r="G27" i="4" s="1"/>
  <c r="G33" i="4" s="1"/>
  <c r="J4" i="4"/>
  <c r="J10" i="4" s="1"/>
  <c r="J16" i="4" s="1"/>
  <c r="J22" i="4" s="1"/>
  <c r="J28" i="4" s="1"/>
  <c r="J34" i="4" s="1"/>
  <c r="H10" i="4"/>
  <c r="H22" i="4" s="1"/>
  <c r="H28" i="4" s="1"/>
  <c r="H34" i="4" s="1"/>
  <c r="G8" i="4"/>
  <c r="G20" i="4" s="1"/>
  <c r="G26" i="4" s="1"/>
  <c r="G32" i="4" s="1"/>
  <c r="H3" i="4"/>
  <c r="H9" i="4" s="1"/>
  <c r="H21" i="4" s="1"/>
  <c r="H27" i="4" s="1"/>
  <c r="H33" i="4" s="1"/>
  <c r="F9" i="4"/>
  <c r="F21" i="4" s="1"/>
  <c r="F27" i="4" s="1"/>
  <c r="F33" i="4" s="1"/>
  <c r="J2" i="4"/>
  <c r="K5" i="4"/>
  <c r="K2" i="4"/>
  <c r="K4" i="4"/>
  <c r="J5" i="4"/>
  <c r="J11" i="4" s="1"/>
  <c r="J17" i="4" s="1"/>
  <c r="J23" i="4" s="1"/>
  <c r="J29" i="4" s="1"/>
  <c r="J35" i="4" s="1"/>
  <c r="J3" i="4" l="1"/>
  <c r="I20" i="4"/>
  <c r="I26" i="4" s="1"/>
  <c r="I32" i="4" s="1"/>
  <c r="I21" i="4"/>
  <c r="I27" i="4" s="1"/>
  <c r="I33" i="4" s="1"/>
  <c r="M4" i="4"/>
  <c r="M10" i="4" s="1"/>
  <c r="M16" i="4" s="1"/>
  <c r="M22" i="4" s="1"/>
  <c r="M28" i="4" s="1"/>
  <c r="M34" i="4" s="1"/>
  <c r="K3" i="4"/>
  <c r="N3" i="4" s="1"/>
  <c r="M3" i="4"/>
  <c r="M9" i="4" s="1"/>
  <c r="M15" i="4" s="1"/>
  <c r="M21" i="4" s="1"/>
  <c r="M27" i="4" s="1"/>
  <c r="M33" i="4" s="1"/>
  <c r="J9" i="4"/>
  <c r="J15" i="4" s="1"/>
  <c r="J21" i="4" s="1"/>
  <c r="J27" i="4" s="1"/>
  <c r="J33" i="4" s="1"/>
  <c r="N4" i="4"/>
  <c r="N10" i="4" s="1"/>
  <c r="K10" i="4"/>
  <c r="K16" i="4" s="1"/>
  <c r="K22" i="4" s="1"/>
  <c r="K28" i="4" s="1"/>
  <c r="K34" i="4" s="1"/>
  <c r="N5" i="4"/>
  <c r="N11" i="4" s="1"/>
  <c r="N17" i="4" s="1"/>
  <c r="N23" i="4" s="1"/>
  <c r="N29" i="4" s="1"/>
  <c r="N35" i="4" s="1"/>
  <c r="K11" i="4"/>
  <c r="K17" i="4" s="1"/>
  <c r="K23" i="4" s="1"/>
  <c r="K29" i="4" s="1"/>
  <c r="K35" i="4" s="1"/>
  <c r="N2" i="4"/>
  <c r="N8" i="4" s="1"/>
  <c r="N14" i="4" s="1"/>
  <c r="N20" i="4" s="1"/>
  <c r="N26" i="4" s="1"/>
  <c r="N32" i="4" s="1"/>
  <c r="K8" i="4"/>
  <c r="K14" i="4" s="1"/>
  <c r="K20" i="4" s="1"/>
  <c r="K26" i="4" s="1"/>
  <c r="K32" i="4" s="1"/>
  <c r="M2" i="4"/>
  <c r="J8" i="4"/>
  <c r="J14" i="4" s="1"/>
  <c r="J20" i="4" s="1"/>
  <c r="J26" i="4" s="1"/>
  <c r="J32" i="4" s="1"/>
  <c r="G22" i="5"/>
  <c r="H24" i="5"/>
  <c r="H25" i="5" s="1"/>
  <c r="M5" i="4"/>
  <c r="M11" i="4" s="1"/>
  <c r="M17" i="4" s="1"/>
  <c r="M23" i="4" s="1"/>
  <c r="M29" i="4" s="1"/>
  <c r="M35" i="4" s="1"/>
  <c r="O35" i="4" s="1"/>
  <c r="T33" i="4" s="1"/>
  <c r="V33" i="4" s="1"/>
  <c r="C16" i="4" s="1"/>
  <c r="F18" i="1"/>
  <c r="E19" i="1"/>
  <c r="K9" i="4" l="1"/>
  <c r="K15" i="4" s="1"/>
  <c r="K21" i="4" s="1"/>
  <c r="K27" i="4" s="1"/>
  <c r="K33" i="4" s="1"/>
  <c r="N9" i="4"/>
  <c r="N16" i="4"/>
  <c r="O2" i="4"/>
  <c r="S2" i="4" s="1"/>
  <c r="M8" i="4"/>
  <c r="M14" i="4" s="1"/>
  <c r="M20" i="4" s="1"/>
  <c r="M26" i="4" s="1"/>
  <c r="M32" i="4" s="1"/>
  <c r="G23" i="5"/>
  <c r="G24" i="5" s="1"/>
  <c r="G25" i="5" s="1"/>
  <c r="L18" i="2"/>
  <c r="N22" i="4" l="1"/>
  <c r="N15" i="4"/>
  <c r="O26" i="4"/>
  <c r="O8" i="4"/>
  <c r="N3" i="1"/>
  <c r="O14" i="4" l="1"/>
  <c r="S8" i="4"/>
  <c r="N21" i="4"/>
  <c r="O32" i="4"/>
  <c r="S32" i="4" s="1"/>
  <c r="S26" i="4"/>
  <c r="N28" i="4"/>
  <c r="G9" i="2"/>
  <c r="G5" i="2"/>
  <c r="G6" i="2"/>
  <c r="G7" i="2"/>
  <c r="G8" i="2"/>
  <c r="G4" i="2"/>
  <c r="G3" i="2"/>
  <c r="E20" i="1"/>
  <c r="E21" i="1"/>
  <c r="E22" i="1"/>
  <c r="E23" i="1"/>
  <c r="E24" i="1"/>
  <c r="N27" i="4" l="1"/>
  <c r="N34" i="4"/>
  <c r="O20" i="4"/>
  <c r="S20" i="4" s="1"/>
  <c r="S14" i="4"/>
  <c r="N2" i="1"/>
  <c r="N4" i="1" s="1"/>
  <c r="C19" i="1"/>
  <c r="G5" i="1"/>
  <c r="G6" i="1"/>
  <c r="G7" i="1"/>
  <c r="G8" i="1"/>
  <c r="G9" i="1"/>
  <c r="B26" i="4" l="1"/>
  <c r="B30" i="4"/>
  <c r="B27" i="4"/>
  <c r="B31" i="4"/>
  <c r="B28" i="4"/>
  <c r="B29" i="4"/>
  <c r="N33" i="4"/>
  <c r="I9" i="1"/>
  <c r="H7" i="7" s="1"/>
  <c r="C24" i="1"/>
  <c r="F24" i="1" s="1"/>
  <c r="C20" i="1"/>
  <c r="F20" i="1" s="1"/>
  <c r="I8" i="1"/>
  <c r="H6" i="7" s="1"/>
  <c r="C23" i="1"/>
  <c r="F23" i="1" s="1"/>
  <c r="C21" i="1"/>
  <c r="F21" i="1" s="1"/>
  <c r="C22" i="1"/>
  <c r="F22" i="1" s="1"/>
  <c r="I7" i="1"/>
  <c r="H5" i="7" s="1"/>
  <c r="F19" i="1"/>
  <c r="I4" i="1"/>
  <c r="H2" i="7" s="1"/>
  <c r="C10" i="1"/>
  <c r="C12" i="1" s="1"/>
  <c r="I6" i="1"/>
  <c r="H4" i="7" s="1"/>
  <c r="I5" i="1"/>
  <c r="H3" i="7" s="1"/>
  <c r="H33" i="9" l="1"/>
  <c r="H14" i="7"/>
  <c r="H44" i="9" s="1"/>
  <c r="H34" i="9"/>
  <c r="H15" i="7"/>
  <c r="H45" i="9" s="1"/>
  <c r="H35" i="9"/>
  <c r="H16" i="7"/>
  <c r="H46" i="9" s="1"/>
  <c r="H36" i="9"/>
  <c r="H17" i="7"/>
  <c r="H47" i="9" s="1"/>
  <c r="H37" i="9"/>
  <c r="H18" i="7"/>
  <c r="H48" i="9" s="1"/>
  <c r="H32" i="9"/>
  <c r="H13" i="7"/>
  <c r="H43" i="9" s="1"/>
  <c r="C25" i="1"/>
  <c r="G23" i="1" s="1"/>
  <c r="C8" i="2" s="1"/>
  <c r="C6" i="7" s="1"/>
  <c r="C36" i="9" l="1"/>
  <c r="C17" i="7"/>
  <c r="C47" i="9" s="1"/>
  <c r="G19" i="1"/>
  <c r="C4" i="2" s="1"/>
  <c r="C2" i="7" s="1"/>
  <c r="G22" i="1"/>
  <c r="C7" i="2" s="1"/>
  <c r="C5" i="7" s="1"/>
  <c r="G24" i="1"/>
  <c r="C10" i="2" s="1"/>
  <c r="G20" i="1"/>
  <c r="C5" i="2" s="1"/>
  <c r="C3" i="7" s="1"/>
  <c r="G21" i="1"/>
  <c r="C6" i="2" s="1"/>
  <c r="C4" i="7" s="1"/>
  <c r="G18" i="1"/>
  <c r="C3" i="2" s="1"/>
  <c r="D3" i="2" s="1"/>
  <c r="C32" i="9" l="1"/>
  <c r="C13" i="7"/>
  <c r="C35" i="9"/>
  <c r="C16" i="7"/>
  <c r="C46" i="9" s="1"/>
  <c r="C34" i="9"/>
  <c r="C15" i="7"/>
  <c r="C33" i="9"/>
  <c r="C14" i="7"/>
  <c r="E3" i="2"/>
  <c r="C9" i="2"/>
  <c r="C7" i="7" s="1"/>
  <c r="D4" i="2"/>
  <c r="C37" i="9" l="1"/>
  <c r="C18" i="7"/>
  <c r="C45" i="9"/>
  <c r="C43" i="9"/>
  <c r="C44" i="9"/>
  <c r="E4" i="2"/>
  <c r="N20" i="2" s="1"/>
  <c r="D2" i="7"/>
  <c r="I3" i="2"/>
  <c r="D5" i="2"/>
  <c r="I4" i="2" l="1"/>
  <c r="P20" i="2" s="1"/>
  <c r="T20" i="2" s="1"/>
  <c r="F19" i="5" s="1"/>
  <c r="I33" i="5" s="1"/>
  <c r="F2" i="7"/>
  <c r="D32" i="9"/>
  <c r="F32" i="9" s="1"/>
  <c r="D13" i="7"/>
  <c r="C48" i="9"/>
  <c r="E5" i="2"/>
  <c r="N21" i="2" s="1"/>
  <c r="D3" i="7"/>
  <c r="N3" i="2"/>
  <c r="D6" i="2"/>
  <c r="N4" i="2" l="1"/>
  <c r="R20" i="2" s="1"/>
  <c r="O34" i="4" s="1"/>
  <c r="I5" i="2"/>
  <c r="P21" i="2" s="1"/>
  <c r="T21" i="2" s="1"/>
  <c r="F20" i="5" s="1"/>
  <c r="I34" i="5" s="1"/>
  <c r="D43" i="9"/>
  <c r="F43" i="9" s="1"/>
  <c r="F13" i="7"/>
  <c r="F3" i="7"/>
  <c r="D33" i="9"/>
  <c r="F33" i="9" s="1"/>
  <c r="D14" i="7"/>
  <c r="E6" i="2"/>
  <c r="I6" i="2" s="1"/>
  <c r="P22" i="2" s="1"/>
  <c r="T22" i="2" s="1"/>
  <c r="F21" i="5" s="1"/>
  <c r="I35" i="5" s="1"/>
  <c r="D4" i="7"/>
  <c r="R3" i="2"/>
  <c r="T3" i="2" s="1"/>
  <c r="D7" i="2"/>
  <c r="R4" i="2" l="1"/>
  <c r="T4" i="2" s="1"/>
  <c r="I19" i="5" s="1"/>
  <c r="J33" i="5" s="1"/>
  <c r="O33" i="4"/>
  <c r="N5" i="2"/>
  <c r="O27" i="4" s="1"/>
  <c r="N22" i="2"/>
  <c r="D44" i="9"/>
  <c r="F44" i="9" s="1"/>
  <c r="F14" i="7"/>
  <c r="F4" i="7"/>
  <c r="D34" i="9"/>
  <c r="F34" i="9" s="1"/>
  <c r="D15" i="7"/>
  <c r="E7" i="2"/>
  <c r="N23" i="2" s="1"/>
  <c r="D5" i="7"/>
  <c r="N6" i="2"/>
  <c r="D8" i="2"/>
  <c r="D10" i="2" s="1"/>
  <c r="E10" i="2" s="1"/>
  <c r="R5" i="2" l="1"/>
  <c r="T5" i="2" s="1"/>
  <c r="I20" i="5" s="1"/>
  <c r="J34" i="5" s="1"/>
  <c r="R21" i="2"/>
  <c r="O28" i="4" s="1"/>
  <c r="T27" i="4" s="1"/>
  <c r="V27" i="4" s="1"/>
  <c r="C17" i="4" s="1"/>
  <c r="K33" i="5"/>
  <c r="I10" i="2"/>
  <c r="P26" i="2" s="1"/>
  <c r="T26" i="2" s="1"/>
  <c r="N26" i="2"/>
  <c r="R6" i="2"/>
  <c r="O21" i="4"/>
  <c r="I7" i="2"/>
  <c r="P23" i="2" s="1"/>
  <c r="T23" i="2" s="1"/>
  <c r="F22" i="5" s="1"/>
  <c r="I36" i="5" s="1"/>
  <c r="F5" i="7"/>
  <c r="D35" i="9"/>
  <c r="F35" i="9" s="1"/>
  <c r="D16" i="7"/>
  <c r="D45" i="9"/>
  <c r="F45" i="9" s="1"/>
  <c r="F15" i="7"/>
  <c r="E8" i="2"/>
  <c r="D6" i="7"/>
  <c r="R22" i="2"/>
  <c r="D9" i="2"/>
  <c r="T6" i="2" l="1"/>
  <c r="I21" i="5" s="1"/>
  <c r="J35" i="5" s="1"/>
  <c r="K34" i="5"/>
  <c r="O22" i="4"/>
  <c r="T21" i="4" s="1"/>
  <c r="V21" i="4" s="1"/>
  <c r="C18" i="4" s="1"/>
  <c r="N7" i="2"/>
  <c r="R7" i="2" s="1"/>
  <c r="N24" i="2"/>
  <c r="I8" i="2"/>
  <c r="N8" i="2" s="1"/>
  <c r="F16" i="7"/>
  <c r="D46" i="9"/>
  <c r="F46" i="9" s="1"/>
  <c r="F6" i="7"/>
  <c r="D36" i="9"/>
  <c r="F36" i="9" s="1"/>
  <c r="D17" i="7"/>
  <c r="E9" i="2"/>
  <c r="N25" i="2" s="1"/>
  <c r="D7" i="7"/>
  <c r="K35" i="5" l="1"/>
  <c r="T7" i="2"/>
  <c r="I22" i="5" s="1"/>
  <c r="J36" i="5" s="1"/>
  <c r="I9" i="2"/>
  <c r="P25" i="2" s="1"/>
  <c r="T25" i="2" s="1"/>
  <c r="R23" i="2"/>
  <c r="O16" i="4" s="1"/>
  <c r="T15" i="4" s="1"/>
  <c r="V15" i="4" s="1"/>
  <c r="C19" i="4" s="1"/>
  <c r="O15" i="4"/>
  <c r="R8" i="2"/>
  <c r="T8" i="2" s="1"/>
  <c r="I23" i="5" s="1"/>
  <c r="J38" i="5" s="1"/>
  <c r="O9" i="4"/>
  <c r="P24" i="2"/>
  <c r="T24" i="2" s="1"/>
  <c r="F23" i="5" s="1"/>
  <c r="I37" i="5" s="1"/>
  <c r="N10" i="2"/>
  <c r="R10" i="2" s="1"/>
  <c r="F7" i="7"/>
  <c r="G7" i="7" s="1"/>
  <c r="J7" i="7" s="1"/>
  <c r="D37" i="9"/>
  <c r="F37" i="9" s="1"/>
  <c r="G37" i="9" s="1"/>
  <c r="D18" i="7"/>
  <c r="D47" i="9"/>
  <c r="F47" i="9" s="1"/>
  <c r="F17" i="7"/>
  <c r="R24" i="2"/>
  <c r="O10" i="4" s="1"/>
  <c r="T9" i="4" s="1"/>
  <c r="V9" i="4" s="1"/>
  <c r="C20" i="4" s="1"/>
  <c r="F25" i="5"/>
  <c r="K36" i="5" l="1"/>
  <c r="N9" i="2"/>
  <c r="O3" i="4" s="1"/>
  <c r="I38" i="5"/>
  <c r="F24" i="5"/>
  <c r="B42" i="5" s="1"/>
  <c r="I7" i="7"/>
  <c r="G6" i="7"/>
  <c r="D48" i="9"/>
  <c r="F48" i="9" s="1"/>
  <c r="G48" i="9" s="1"/>
  <c r="F18" i="7"/>
  <c r="G18" i="7" s="1"/>
  <c r="G36" i="9"/>
  <c r="J37" i="9"/>
  <c r="I37" i="9"/>
  <c r="J37" i="5"/>
  <c r="B43" i="5"/>
  <c r="K38" i="5"/>
  <c r="K37" i="5"/>
  <c r="R25" i="2" l="1"/>
  <c r="R9" i="2"/>
  <c r="T9" i="2" s="1"/>
  <c r="T10" i="2" s="1"/>
  <c r="I25" i="5" s="1"/>
  <c r="G5" i="7"/>
  <c r="J6" i="7"/>
  <c r="I6" i="7"/>
  <c r="J36" i="9"/>
  <c r="G35" i="9"/>
  <c r="I36" i="9"/>
  <c r="G17" i="7"/>
  <c r="J18" i="7"/>
  <c r="I18" i="7"/>
  <c r="J48" i="9"/>
  <c r="G47" i="9"/>
  <c r="I48" i="9"/>
  <c r="O4" i="4" l="1"/>
  <c r="T3" i="4" s="1"/>
  <c r="V3" i="4" s="1"/>
  <c r="C21" i="4" s="1"/>
  <c r="I24" i="5"/>
  <c r="I5" i="7"/>
  <c r="G4" i="7"/>
  <c r="J5" i="7"/>
  <c r="J47" i="9"/>
  <c r="G46" i="9"/>
  <c r="I47" i="9"/>
  <c r="I17" i="7"/>
  <c r="J17" i="7"/>
  <c r="G16" i="7"/>
  <c r="G34" i="9"/>
  <c r="J35" i="9"/>
  <c r="I35" i="9"/>
  <c r="G3" i="7" l="1"/>
  <c r="I4" i="7"/>
  <c r="J4" i="7"/>
  <c r="G33" i="9"/>
  <c r="J34" i="9"/>
  <c r="I34" i="9"/>
  <c r="I16" i="7"/>
  <c r="J16" i="7"/>
  <c r="G15" i="7"/>
  <c r="G45" i="9"/>
  <c r="J46" i="9"/>
  <c r="I46" i="9"/>
  <c r="I3" i="7" l="1"/>
  <c r="J3" i="7"/>
  <c r="G2" i="7"/>
  <c r="G44" i="9"/>
  <c r="J45" i="9"/>
  <c r="I45" i="9"/>
  <c r="J15" i="7"/>
  <c r="G14" i="7"/>
  <c r="I15" i="7"/>
  <c r="G32" i="9"/>
  <c r="J33" i="9"/>
  <c r="I33" i="9"/>
  <c r="J2" i="7" l="1"/>
  <c r="J8" i="7" s="1"/>
  <c r="I2" i="7"/>
  <c r="I8" i="7" s="1"/>
  <c r="J32" i="9"/>
  <c r="J38" i="9" s="1"/>
  <c r="I32" i="9"/>
  <c r="I38" i="9" s="1"/>
  <c r="J14" i="7"/>
  <c r="G13" i="7"/>
  <c r="I14" i="7"/>
  <c r="G43" i="9"/>
  <c r="J44" i="9"/>
  <c r="I44" i="9"/>
  <c r="K32" i="9" l="1"/>
  <c r="K2" i="7"/>
  <c r="J13" i="7"/>
  <c r="J19" i="7" s="1"/>
  <c r="I13" i="7"/>
  <c r="I19" i="7" s="1"/>
  <c r="J43" i="9"/>
  <c r="J49" i="9" s="1"/>
  <c r="I43" i="9"/>
  <c r="I49" i="9" s="1"/>
  <c r="K13" i="7" l="1"/>
  <c r="K43" i="9"/>
  <c r="N6" i="12"/>
  <c r="N23" i="12" l="1"/>
  <c r="N24" i="12" s="1"/>
  <c r="M31" i="12" s="1"/>
  <c r="L39" i="12" s="1"/>
  <c r="M32" i="12"/>
  <c r="F39" i="12" s="1"/>
  <c r="M30" i="12" l="1"/>
  <c r="M33" i="12" l="1"/>
  <c r="H39" i="12" s="1"/>
  <c r="J39" i="12"/>
  <c r="F45" i="12" s="1"/>
</calcChain>
</file>

<file path=xl/comments1.xml><?xml version="1.0" encoding="utf-8"?>
<comments xmlns="http://schemas.openxmlformats.org/spreadsheetml/2006/main">
  <authors>
    <author>Utente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Eventuale copertura diversa da quella usata in qst progetto
</t>
        </r>
      </text>
    </comment>
  </commentList>
</comments>
</file>

<file path=xl/comments2.xml><?xml version="1.0" encoding="utf-8"?>
<comments xmlns="http://schemas.openxmlformats.org/spreadsheetml/2006/main">
  <authors>
    <author>Utente</author>
  </authors>
  <commentList>
    <comment ref="P2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guardo i pilastri rossi e prendo dove c'è un pilastro di coltello e due travi emergenti: io ho 5 m e 4,7m    prendo 4,7
</t>
        </r>
      </text>
    </comment>
    <comment ref="R26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Il momento della trave al piede non ne tengo conto nei miei calcoli
(perché e come se fosse una trave di fondazione e quindi infinitamente rigida, ed io non posso dimensionare in funzione di questo)</t>
        </r>
      </text>
    </comment>
    <comment ref="T26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Per la gerarchia delle resistenze il momento alla base del pilastro non va moltiplicato per 1,5</t>
        </r>
      </text>
    </comment>
  </commentList>
</comments>
</file>

<file path=xl/comments3.xml><?xml version="1.0" encoding="utf-8"?>
<comments xmlns="http://schemas.openxmlformats.org/spreadsheetml/2006/main">
  <authors>
    <author>Utente</author>
  </authors>
  <commentList>
    <comment ref="Q2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gd+qd</t>
        </r>
      </text>
    </comment>
    <comment ref="R2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gk+Ψ*qk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ho sottratto 1,60 per togliere l'incidenza tramezzi
</t>
        </r>
      </text>
    </comment>
    <comment ref="D5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ho sottratto 1,60 per togliere l'incidenza tramezzi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Considerando l'area compresa la trave di copertura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 somma della  lunghezza di tutte le travi 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vedi pdf11 pag17</t>
        </r>
      </text>
    </comment>
    <comment ref="B32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Area solaio dell'impalcato+sbalzo impalcato+scala</t>
        </r>
      </text>
    </comment>
    <comment ref="C38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Eventuale copertura diversa da quella usata in qst progetto
</t>
        </r>
      </text>
    </comment>
  </commentList>
</comments>
</file>

<file path=xl/comments4.xml><?xml version="1.0" encoding="utf-8"?>
<comments xmlns="http://schemas.openxmlformats.org/spreadsheetml/2006/main">
  <authors>
    <author>Utente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gd+qd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gk+Ψ*qk</t>
        </r>
      </text>
    </comment>
    <comment ref="V4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è il rapporto tra alzata e pedata</t>
        </r>
      </text>
    </comment>
    <comment ref="B32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gd+qd</t>
        </r>
      </text>
    </comment>
    <comment ref="C32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gk+Ψ*qk</t>
        </r>
      </text>
    </comment>
    <comment ref="B63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gd+qd</t>
        </r>
      </text>
    </comment>
    <comment ref="C63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gk+Ψ*qk</t>
        </r>
      </text>
    </comment>
    <comment ref="B94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gd+qd</t>
        </r>
      </text>
    </comment>
    <comment ref="C94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gk+Ψ*qk</t>
        </r>
      </text>
    </comment>
  </commentList>
</comments>
</file>

<file path=xl/comments5.xml><?xml version="1.0" encoding="utf-8"?>
<comments xmlns="http://schemas.openxmlformats.org/spreadsheetml/2006/main">
  <authors>
    <author>Utente</author>
  </authors>
  <commentList>
    <comment ref="O1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Per ogni impalcato cambiano solo i valori del momento
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è una Trave a spessore
</t>
        </r>
      </text>
    </comment>
    <comment ref="O3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Ho sommato il momento non incrementato del 20% perche non è una trave perimetrale
</t>
        </r>
      </text>
    </comment>
    <comment ref="O4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Ho sommato il momento massimo incrementato del 20% perché è una trave perimetrale</t>
        </r>
      </text>
    </comment>
    <comment ref="O5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Non c'è nulla perche questa trave c'è solo in copertura</t>
        </r>
      </text>
    </comment>
    <comment ref="E8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è una Trave a spessore
</t>
        </r>
      </text>
    </comment>
    <comment ref="O9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Ho sommato il momento non incrementato del 20% perche non è una trave perimetrale
</t>
        </r>
      </text>
    </comment>
    <comment ref="O10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Ho sommato il momento massimo incrementato del 20% perché è una trave perimetrale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Non c'è nulla perche questa trave c'è solo in copertura</t>
        </r>
      </text>
    </comment>
    <comment ref="E14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è una Trave a spessore
</t>
        </r>
      </text>
    </comment>
    <comment ref="C15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I valori delle sezioni nel SE ogni volta dovrò cambiarlo io in funzione delle tabelle dimesnione trave</t>
        </r>
      </text>
    </comment>
    <comment ref="O15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Ho sommato il momento non incrementato del 20% perche non è una trave perimetrale
</t>
        </r>
      </text>
    </comment>
    <comment ref="O16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Ho sommato il momento massimo incrementato del 20% perché è una trave perimetrale</t>
        </r>
      </text>
    </comment>
    <comment ref="O17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Non c'è nulla perche questa trave c'è solo in copertura</t>
        </r>
      </text>
    </comment>
    <comment ref="E20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è una Trave a spessore
</t>
        </r>
      </text>
    </comment>
    <comment ref="O21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Ho sommato il momento non incrementato del 20% perche non è una trave perimetrale
</t>
        </r>
      </text>
    </comment>
    <comment ref="O22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Ho sommato il momento massimo incrementato del 20% perché è una trave perimetrale</t>
        </r>
      </text>
    </comment>
    <comment ref="O23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Non c'è nulla perche questa trave c'è solo in copertura</t>
        </r>
      </text>
    </comment>
    <comment ref="E26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è una Trave a spessore
</t>
        </r>
      </text>
    </comment>
    <comment ref="O27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Ho sommato il momento non incrementato del 20% perche non è una trave perimetrale
</t>
        </r>
      </text>
    </comment>
    <comment ref="O28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Ho sommato il momento massimo incrementato del 20% perché è una trave perimetrale</t>
        </r>
      </text>
    </comment>
    <comment ref="O29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Non c'è nulla perche questa trave c'è solo in copertura</t>
        </r>
      </text>
    </comment>
    <comment ref="E32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è una Trave a spessore
</t>
        </r>
      </text>
    </comment>
    <comment ref="O33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Ho sommato il momento non incrementato del 20% perche non è una trave perimetrale
</t>
        </r>
      </text>
    </comment>
    <comment ref="O34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Ho sommato il momento massimo incrementato del 20% perché è una trave perimetrale</t>
        </r>
      </text>
    </comment>
  </commentList>
</comments>
</file>

<file path=xl/comments6.xml><?xml version="1.0" encoding="utf-8"?>
<comments xmlns="http://schemas.openxmlformats.org/spreadsheetml/2006/main">
  <authors>
    <author>Utente</author>
  </authors>
  <commentList>
    <comment ref="D8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 Quando poggia la trave di copertura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Incrementato del 10% per tener conto del peso del pilastro
</t>
        </r>
      </text>
    </comment>
    <comment ref="C19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Incrementato del 10% per tener conto del peso del pilastro
</t>
        </r>
      </text>
    </comment>
    <comment ref="A21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 Quando poggia la trave di copertura</t>
        </r>
      </text>
    </comment>
    <comment ref="B39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Prendo il momento al 4 impalcato perché visto che ho un pilastro d'estremità non è corretto dare il momento massimo e quindi do un 80% del momento massimo che è 320 e quindi uso il momento 306,4 a cui sono associati i valori di N</t>
        </r>
      </text>
    </comment>
    <comment ref="B42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Prendo il momento massimo</t>
        </r>
      </text>
    </comment>
  </commentList>
</comments>
</file>

<file path=xl/comments7.xml><?xml version="1.0" encoding="utf-8"?>
<comments xmlns="http://schemas.openxmlformats.org/spreadsheetml/2006/main">
  <authors>
    <author>Utente</author>
  </authors>
  <commentList>
    <comment ref="E1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Ho fatto questa distinzione perché all'ultimo impalcato ho realizzato una sezione 30x60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Ho fatto questa distinzione perché all'ultimo impalcato ho realizzato una sezione 30x60</t>
        </r>
      </text>
    </comment>
    <comment ref="M1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Ho fatto questa distinzione perché all'ultimo impalcato ho realizzato una sezione 30x60</t>
        </r>
      </text>
    </comment>
    <comment ref="Q1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Ho fatto questa distinzione perché all'ultimo impalcato ho realizzato una sezione 30x60</t>
        </r>
      </text>
    </comment>
    <comment ref="C7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Faccio una media di tutte le lunghezze delle travi emergenti nella direzione considerata</t>
        </r>
      </text>
    </comment>
    <comment ref="G7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Faccio una media di tutte le lunghezze delle travi emergenti nella direzione considerata</t>
        </r>
      </text>
    </comment>
    <comment ref="K7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Faccio una media di tutte le lunghezze delle travi emergenti nella direzione considerata</t>
        </r>
      </text>
    </comment>
    <comment ref="O7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Faccio una media di tutte le lunghezze delle travi emergenti nella direzione considerata</t>
        </r>
      </text>
    </comment>
    <comment ref="S7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Faccio una media di tutte le lunghezze delle travi emergenti nella direzione considerata</t>
        </r>
      </text>
    </comment>
    <comment ref="C8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Faccio una media di tutte le lunghezze delle travi emergenti nella direzione considerata</t>
        </r>
      </text>
    </comment>
    <comment ref="G8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Faccio una media di tutte le lunghezze delle travi emergenti nella direzione considerata</t>
        </r>
      </text>
    </comment>
    <comment ref="K8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Faccio una media di tutte le lunghezze delle travi emergenti nella direzione considerata</t>
        </r>
      </text>
    </comment>
    <comment ref="O8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Faccio una media di tutte le lunghezze delle travi emergenti nella direzione considerata</t>
        </r>
      </text>
    </comment>
    <comment ref="S8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Faccio una media di tutte le lunghezze delle travi emergenti nella direzione considerata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Pilastri che contano nella direzione x</t>
        </r>
      </text>
    </comment>
    <comment ref="B22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Pilastri che contano nella direzione y
</t>
        </r>
      </text>
    </comment>
  </commentList>
</comments>
</file>

<file path=xl/sharedStrings.xml><?xml version="1.0" encoding="utf-8"?>
<sst xmlns="http://schemas.openxmlformats.org/spreadsheetml/2006/main" count="1007" uniqueCount="319">
  <si>
    <t>Impalcato</t>
  </si>
  <si>
    <t>Peso impalcato</t>
  </si>
  <si>
    <t>Massa</t>
  </si>
  <si>
    <t>C1</t>
  </si>
  <si>
    <t>H</t>
  </si>
  <si>
    <t>T1</t>
  </si>
  <si>
    <t>TAGLIO alla base Vb</t>
  </si>
  <si>
    <t>Sd(T1)</t>
  </si>
  <si>
    <t>Wz</t>
  </si>
  <si>
    <t>Impalcato/ordine</t>
  </si>
  <si>
    <t>Numero Pilastri minori</t>
  </si>
  <si>
    <t>Altezza interpiano</t>
  </si>
  <si>
    <t xml:space="preserve">Peso unitario </t>
  </si>
  <si>
    <r>
      <t>m</t>
    </r>
    <r>
      <rPr>
        <vertAlign val="superscript"/>
        <sz val="11"/>
        <color theme="1"/>
        <rFont val="AcadEref"/>
      </rPr>
      <t>2</t>
    </r>
  </si>
  <si>
    <t>Copertura</t>
  </si>
  <si>
    <r>
      <t>KN/m</t>
    </r>
    <r>
      <rPr>
        <vertAlign val="superscript"/>
        <sz val="11"/>
        <color theme="1"/>
        <rFont val="Calibri"/>
        <family val="2"/>
        <scheme val="minor"/>
      </rPr>
      <t>2</t>
    </r>
  </si>
  <si>
    <t>KN</t>
  </si>
  <si>
    <t>Ordine Impalcato</t>
  </si>
  <si>
    <t>Peso impalcato   W</t>
  </si>
  <si>
    <t>Quota z</t>
  </si>
  <si>
    <t>m</t>
  </si>
  <si>
    <t>KN*m</t>
  </si>
  <si>
    <t>Forza F</t>
  </si>
  <si>
    <t>Somma pesi TOT</t>
  </si>
  <si>
    <t>1 Testa</t>
  </si>
  <si>
    <t>1 Piede</t>
  </si>
  <si>
    <t>KN/g</t>
  </si>
  <si>
    <t>SOLLECITAZIONI PILASTRO</t>
  </si>
  <si>
    <t>Superfice</t>
  </si>
  <si>
    <t>Numero Pilastri Tetto</t>
  </si>
  <si>
    <t>SOLLECITAZIONI TRAVE</t>
  </si>
  <si>
    <t>Forza F                   KN</t>
  </si>
  <si>
    <t>Taglio V Impalcato            KN</t>
  </si>
  <si>
    <t>Taglio V Pilastro        KN</t>
  </si>
  <si>
    <t>Punto di nullo         m</t>
  </si>
  <si>
    <t>Momento M pilastro           KN*m</t>
  </si>
  <si>
    <t>Lungh Trave in direz y più piccola (m)</t>
  </si>
  <si>
    <t>Periodo di vibrazione della struttura</t>
  </si>
  <si>
    <t>Somma dei Wz</t>
  </si>
  <si>
    <t>Calcolo delle Forze per analisi statica</t>
  </si>
  <si>
    <t>Taglio V Trave         KN</t>
  </si>
  <si>
    <r>
      <rPr>
        <b/>
        <sz val="11"/>
        <color theme="1"/>
        <rFont val="Calibri"/>
        <family val="2"/>
      </rPr>
      <t>ΔN  Pilastro</t>
    </r>
    <r>
      <rPr>
        <b/>
        <sz val="11"/>
        <color theme="1"/>
        <rFont val="Calibri"/>
        <family val="2"/>
        <scheme val="minor"/>
      </rPr>
      <t xml:space="preserve">         KN</t>
    </r>
  </si>
  <si>
    <t>Momento M Trave         KN*m</t>
  </si>
  <si>
    <t>Incremento caratterestiche della sollecitazione</t>
  </si>
  <si>
    <t>Momento M pilastro   KN*m</t>
  </si>
  <si>
    <t>Eccentricità accidentale  e effetto combinato sisma</t>
  </si>
  <si>
    <t>Gerarchia resist</t>
  </si>
  <si>
    <t>6+Copertura</t>
  </si>
  <si>
    <t>Trave a spessore</t>
  </si>
  <si>
    <t>Carichi Verticali Senza Sisma</t>
  </si>
  <si>
    <t>Carichi verticali con sisma</t>
  </si>
  <si>
    <t>Tamponatura   kN/m</t>
  </si>
  <si>
    <t>Tramezzi   kN/m</t>
  </si>
  <si>
    <t>Campata/Trave</t>
  </si>
  <si>
    <t>8-9 /103</t>
  </si>
  <si>
    <t>16-17 /104</t>
  </si>
  <si>
    <t>24-25 /105</t>
  </si>
  <si>
    <t>3-4 /Copertura</t>
  </si>
  <si>
    <t>Momento con sisma  kN*m</t>
  </si>
  <si>
    <t>Momento senza sisma  kN*m</t>
  </si>
  <si>
    <r>
      <rPr>
        <b/>
        <sz val="12"/>
        <color theme="1"/>
        <rFont val="Calibri"/>
        <family val="2"/>
        <scheme val="minor"/>
      </rPr>
      <t>M</t>
    </r>
    <r>
      <rPr>
        <b/>
        <vertAlign val="subscript"/>
        <sz val="12"/>
        <color theme="1"/>
        <rFont val="Calibri"/>
        <family val="2"/>
        <scheme val="minor"/>
      </rPr>
      <t>TOT</t>
    </r>
    <r>
      <rPr>
        <b/>
        <vertAlign val="subscript"/>
        <sz val="11"/>
        <color theme="1"/>
        <rFont val="Calibri"/>
        <family val="2"/>
        <scheme val="minor"/>
      </rPr>
      <t xml:space="preserve">  </t>
    </r>
    <r>
      <rPr>
        <sz val="11"/>
        <color theme="1"/>
        <rFont val="Calibri"/>
        <family val="2"/>
        <scheme val="minor"/>
      </rPr>
      <t>kN*m</t>
    </r>
  </si>
  <si>
    <t>Lunghezza campata Superiore   m</t>
  </si>
  <si>
    <t>Lunghezza campata Inferiore   m</t>
  </si>
  <si>
    <t>Lunghezza Influenza Superiore     m</t>
  </si>
  <si>
    <t>Lunghezza Influenza Inferiore    m</t>
  </si>
  <si>
    <t>Lunghezza Trave   m</t>
  </si>
  <si>
    <t>Trave a spessore   kN/m2</t>
  </si>
  <si>
    <t>Solaio   kN/m2</t>
  </si>
  <si>
    <t>Balcone   kN/m2</t>
  </si>
  <si>
    <t>Scala   kN/m2</t>
  </si>
  <si>
    <t>Solaio Copertura   kN/m2</t>
  </si>
  <si>
    <t>Copertura   kN/m2</t>
  </si>
  <si>
    <t>r</t>
  </si>
  <si>
    <t>Dimensione Trave</t>
  </si>
  <si>
    <t>Trave  emergente</t>
  </si>
  <si>
    <t>Copriferro   c                                                                m</t>
  </si>
  <si>
    <t xml:space="preserve">Base           b                                                              m </t>
  </si>
  <si>
    <t>Altezza h                  m</t>
  </si>
  <si>
    <t>Trave emergente   kN/m2</t>
  </si>
  <si>
    <r>
      <t xml:space="preserve">q </t>
    </r>
    <r>
      <rPr>
        <vertAlign val="subscript"/>
        <sz val="11"/>
        <color theme="1"/>
        <rFont val="Calibri"/>
        <family val="2"/>
        <scheme val="minor"/>
      </rPr>
      <t xml:space="preserve">senza sisma           </t>
    </r>
    <r>
      <rPr>
        <sz val="11"/>
        <color theme="1"/>
        <rFont val="Calibri"/>
        <family val="2"/>
        <scheme val="minor"/>
      </rPr>
      <t>kN/m</t>
    </r>
  </si>
  <si>
    <r>
      <t xml:space="preserve">q </t>
    </r>
    <r>
      <rPr>
        <vertAlign val="subscript"/>
        <sz val="11"/>
        <color theme="1"/>
        <rFont val="Calibri"/>
        <family val="2"/>
        <scheme val="minor"/>
      </rPr>
      <t xml:space="preserve">con sisma       </t>
    </r>
    <r>
      <rPr>
        <sz val="11"/>
        <color theme="1"/>
        <rFont val="Calibri"/>
        <family val="2"/>
        <scheme val="minor"/>
      </rPr>
      <t xml:space="preserve"> kN/m</t>
    </r>
  </si>
  <si>
    <t>Pilastro 1</t>
  </si>
  <si>
    <t>Pilastro 3</t>
  </si>
  <si>
    <t>Pilastro 16</t>
  </si>
  <si>
    <t>Pilastro 23</t>
  </si>
  <si>
    <r>
      <t>Area di influenza</t>
    </r>
    <r>
      <rPr>
        <i/>
        <sz val="11"/>
        <color theme="1"/>
        <rFont val="Calibri"/>
        <family val="2"/>
        <scheme val="minor"/>
      </rPr>
      <t xml:space="preserve"> solaio</t>
    </r>
    <r>
      <rPr>
        <sz val="11"/>
        <color theme="1"/>
        <rFont val="Calibri"/>
        <family val="2"/>
        <scheme val="minor"/>
      </rPr>
      <t xml:space="preserve"> alto-sinistra   m2</t>
    </r>
  </si>
  <si>
    <r>
      <t xml:space="preserve">Area di influenza </t>
    </r>
    <r>
      <rPr>
        <i/>
        <sz val="11"/>
        <color theme="1"/>
        <rFont val="Calibri"/>
        <family val="2"/>
        <scheme val="minor"/>
      </rPr>
      <t>solaio</t>
    </r>
    <r>
      <rPr>
        <sz val="11"/>
        <color theme="1"/>
        <rFont val="Calibri"/>
        <family val="2"/>
        <scheme val="minor"/>
      </rPr>
      <t xml:space="preserve">               alto-destra    m2</t>
    </r>
  </si>
  <si>
    <r>
      <t>Area di influenza</t>
    </r>
    <r>
      <rPr>
        <i/>
        <sz val="11"/>
        <color theme="1"/>
        <rFont val="Calibri"/>
        <family val="2"/>
        <scheme val="minor"/>
      </rPr>
      <t xml:space="preserve"> solaio</t>
    </r>
    <r>
      <rPr>
        <sz val="11"/>
        <color theme="1"/>
        <rFont val="Calibri"/>
        <family val="2"/>
        <scheme val="minor"/>
      </rPr>
      <t xml:space="preserve"> basso-sinistra   m2</t>
    </r>
  </si>
  <si>
    <r>
      <t xml:space="preserve">Area di influenza </t>
    </r>
    <r>
      <rPr>
        <i/>
        <sz val="11"/>
        <color theme="1"/>
        <rFont val="Calibri"/>
        <family val="2"/>
        <scheme val="minor"/>
      </rPr>
      <t>solaio</t>
    </r>
    <r>
      <rPr>
        <sz val="11"/>
        <color theme="1"/>
        <rFont val="Calibri"/>
        <family val="2"/>
        <scheme val="minor"/>
      </rPr>
      <t xml:space="preserve"> basso-destra   m2</t>
    </r>
  </si>
  <si>
    <r>
      <t xml:space="preserve">Lunghezza influenza </t>
    </r>
    <r>
      <rPr>
        <i/>
        <sz val="11"/>
        <color theme="1"/>
        <rFont val="Calibri"/>
        <family val="2"/>
        <scheme val="minor"/>
      </rPr>
      <t xml:space="preserve">trave </t>
    </r>
    <r>
      <rPr>
        <sz val="11"/>
        <color theme="1"/>
        <rFont val="Calibri"/>
        <family val="2"/>
        <scheme val="minor"/>
      </rPr>
      <t>alto   m</t>
    </r>
  </si>
  <si>
    <r>
      <t>Lunghezza influenza</t>
    </r>
    <r>
      <rPr>
        <i/>
        <sz val="11"/>
        <color theme="1"/>
        <rFont val="Calibri"/>
        <family val="2"/>
        <scheme val="minor"/>
      </rPr>
      <t xml:space="preserve"> trave</t>
    </r>
    <r>
      <rPr>
        <sz val="11"/>
        <color theme="1"/>
        <rFont val="Calibri"/>
        <family val="2"/>
        <scheme val="minor"/>
      </rPr>
      <t xml:space="preserve">      destra   m</t>
    </r>
  </si>
  <si>
    <r>
      <t xml:space="preserve">Lunghezza influenza </t>
    </r>
    <r>
      <rPr>
        <i/>
        <sz val="11"/>
        <color theme="1"/>
        <rFont val="Calibri"/>
        <family val="2"/>
        <scheme val="minor"/>
      </rPr>
      <t>trave</t>
    </r>
    <r>
      <rPr>
        <sz val="11"/>
        <color theme="1"/>
        <rFont val="Calibri"/>
        <family val="2"/>
        <scheme val="minor"/>
      </rPr>
      <t xml:space="preserve"> basso   m</t>
    </r>
  </si>
  <si>
    <r>
      <t>Lunghezza influenza</t>
    </r>
    <r>
      <rPr>
        <i/>
        <sz val="11"/>
        <color theme="1"/>
        <rFont val="Calibri"/>
        <family val="2"/>
        <scheme val="minor"/>
      </rPr>
      <t xml:space="preserve"> trave</t>
    </r>
    <r>
      <rPr>
        <sz val="11"/>
        <color theme="1"/>
        <rFont val="Calibri"/>
        <family val="2"/>
        <scheme val="minor"/>
      </rPr>
      <t xml:space="preserve"> sinistra   m</t>
    </r>
  </si>
  <si>
    <t>Altezza utile   d                      m</t>
  </si>
  <si>
    <t>PILASTRI Piano tipo</t>
  </si>
  <si>
    <t>PILASTRI COPERTURA</t>
  </si>
  <si>
    <r>
      <t>q</t>
    </r>
    <r>
      <rPr>
        <b/>
        <vertAlign val="subscript"/>
        <sz val="14"/>
        <color theme="1"/>
        <rFont val="Calibri"/>
        <family val="2"/>
        <scheme val="minor"/>
      </rPr>
      <t xml:space="preserve">TOT                                                              </t>
    </r>
    <r>
      <rPr>
        <b/>
        <sz val="14"/>
        <color theme="1"/>
        <rFont val="Calibri"/>
        <family val="2"/>
        <scheme val="minor"/>
      </rPr>
      <t xml:space="preserve"> </t>
    </r>
    <r>
      <rPr>
        <sz val="14"/>
        <color theme="1"/>
        <rFont val="Calibri"/>
        <family val="2"/>
        <scheme val="minor"/>
      </rPr>
      <t>Kn</t>
    </r>
  </si>
  <si>
    <r>
      <t xml:space="preserve">    q</t>
    </r>
    <r>
      <rPr>
        <b/>
        <vertAlign val="subscript"/>
        <sz val="14"/>
        <color theme="1"/>
        <rFont val="Calibri"/>
        <family val="2"/>
        <scheme val="minor"/>
      </rPr>
      <t xml:space="preserve">TOT          </t>
    </r>
    <r>
      <rPr>
        <vertAlign val="subscript"/>
        <sz val="14"/>
        <color theme="1"/>
        <rFont val="Calibri"/>
        <family val="2"/>
        <scheme val="minor"/>
      </rPr>
      <t>incrementato del 10%</t>
    </r>
    <r>
      <rPr>
        <b/>
        <vertAlign val="subscript"/>
        <sz val="14"/>
        <color theme="1"/>
        <rFont val="Calibri"/>
        <family val="2"/>
        <scheme val="minor"/>
      </rPr>
      <t xml:space="preserve">                                 </t>
    </r>
    <r>
      <rPr>
        <b/>
        <sz val="14"/>
        <color theme="1"/>
        <rFont val="Calibri"/>
        <family val="2"/>
        <scheme val="minor"/>
      </rPr>
      <t xml:space="preserve"> </t>
    </r>
    <r>
      <rPr>
        <sz val="14"/>
        <color theme="1"/>
        <rFont val="Calibri"/>
        <family val="2"/>
        <scheme val="minor"/>
      </rPr>
      <t>Kn</t>
    </r>
  </si>
  <si>
    <r>
      <rPr>
        <b/>
        <sz val="11"/>
        <color theme="1"/>
        <rFont val="Calibri"/>
        <family val="2"/>
      </rPr>
      <t>ΔN da sisma</t>
    </r>
    <r>
      <rPr>
        <b/>
        <sz val="11"/>
        <color theme="1"/>
        <rFont val="Calibri"/>
        <family val="2"/>
        <scheme val="minor"/>
      </rPr>
      <t xml:space="preserve"> pilastro           KN</t>
    </r>
  </si>
  <si>
    <t>Sforzo normale N pilastro Min          KN</t>
  </si>
  <si>
    <t>Sforzo normale N pilastro Max         KN</t>
  </si>
  <si>
    <t>COPPIE M-N                  Più Gravose</t>
  </si>
  <si>
    <t>Momento   kN*m</t>
  </si>
  <si>
    <r>
      <t>N</t>
    </r>
    <r>
      <rPr>
        <vertAlign val="subscript"/>
        <sz val="11"/>
        <color theme="1"/>
        <rFont val="Calibri"/>
        <family val="2"/>
        <scheme val="minor"/>
      </rPr>
      <t xml:space="preserve">min     </t>
    </r>
    <r>
      <rPr>
        <sz val="11"/>
        <color theme="1"/>
        <rFont val="Calibri"/>
        <family val="2"/>
        <scheme val="minor"/>
      </rPr>
      <t xml:space="preserve"> Kn</t>
    </r>
  </si>
  <si>
    <r>
      <t>N</t>
    </r>
    <r>
      <rPr>
        <vertAlign val="subscript"/>
        <sz val="11"/>
        <color theme="1"/>
        <rFont val="Calibri"/>
        <family val="2"/>
        <scheme val="minor"/>
      </rPr>
      <t xml:space="preserve">max     </t>
    </r>
    <r>
      <rPr>
        <sz val="11"/>
        <color theme="1"/>
        <rFont val="Calibri"/>
        <family val="2"/>
        <scheme val="minor"/>
      </rPr>
      <t xml:space="preserve"> Kn</t>
    </r>
  </si>
  <si>
    <t>Kx          kN/mm</t>
  </si>
  <si>
    <t>dr             mm</t>
  </si>
  <si>
    <t>u           mm</t>
  </si>
  <si>
    <t>Massa           KN/g</t>
  </si>
  <si>
    <r>
      <t>Massa*u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             KN mm s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</si>
  <si>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F*u                KN mm</t>
  </si>
  <si>
    <t>SOMMA</t>
  </si>
  <si>
    <t>PERIODO in X</t>
  </si>
  <si>
    <t>Ky          kN/mm</t>
  </si>
  <si>
    <t>PERIODO in Y</t>
  </si>
  <si>
    <t>Approccio globale semplificato al primo e secondo impalcato</t>
  </si>
  <si>
    <t>Approccio globale semplificato copertura+6impalcato</t>
  </si>
  <si>
    <t>PILASTRO</t>
  </si>
  <si>
    <t>TRAVE EMERGENTE</t>
  </si>
  <si>
    <t>base   (mm)</t>
  </si>
  <si>
    <t>base</t>
  </si>
  <si>
    <t>altezza    (mm)</t>
  </si>
  <si>
    <t>altezza</t>
  </si>
  <si>
    <t>lunghezza pilastro   (mm)</t>
  </si>
  <si>
    <t>lunghezza trave direzione x  (cm)</t>
  </si>
  <si>
    <t>lunghezza pilastro</t>
  </si>
  <si>
    <t>lunghezza trave direzione x</t>
  </si>
  <si>
    <t>momento d'inerzia pilastro  (mm4)</t>
  </si>
  <si>
    <t>lunghezza trave direzione y    (cm)</t>
  </si>
  <si>
    <t>momento d'inerzia pilastro</t>
  </si>
  <si>
    <t>lunghezza trave direzione y</t>
  </si>
  <si>
    <t>Ecm      N/mm2</t>
  </si>
  <si>
    <t>momento d'inerzia trave</t>
  </si>
  <si>
    <t xml:space="preserve">Ecm  </t>
  </si>
  <si>
    <t>pilastri in x</t>
  </si>
  <si>
    <t>Travi emergenti in x</t>
  </si>
  <si>
    <t>((somma Ip)/(Lp3))*E</t>
  </si>
  <si>
    <t>somma Ip/Lp</t>
  </si>
  <si>
    <r>
      <t xml:space="preserve">somma it </t>
    </r>
    <r>
      <rPr>
        <vertAlign val="subscript"/>
        <sz val="11"/>
        <color theme="1"/>
        <rFont val="Calibri"/>
        <family val="2"/>
        <scheme val="minor"/>
      </rPr>
      <t>sup</t>
    </r>
    <r>
      <rPr>
        <sz val="11"/>
        <color theme="1"/>
        <rFont val="Calibri"/>
        <family val="2"/>
        <scheme val="minor"/>
      </rPr>
      <t>/lt</t>
    </r>
  </si>
  <si>
    <t>Kx</t>
  </si>
  <si>
    <t>6+copertura</t>
  </si>
  <si>
    <t>pilastri in y</t>
  </si>
  <si>
    <t>Travi emergenti in y</t>
  </si>
  <si>
    <t>Ky</t>
  </si>
  <si>
    <t>infinitamente rigida</t>
  </si>
  <si>
    <r>
      <t xml:space="preserve">somma it </t>
    </r>
    <r>
      <rPr>
        <vertAlign val="subscript"/>
        <sz val="11"/>
        <color theme="1"/>
        <rFont val="Calibri"/>
        <family val="2"/>
        <scheme val="minor"/>
      </rPr>
      <t>inf</t>
    </r>
    <r>
      <rPr>
        <sz val="11"/>
        <color theme="1"/>
        <rFont val="Calibri"/>
        <family val="2"/>
        <scheme val="minor"/>
      </rPr>
      <t>/lt</t>
    </r>
  </si>
  <si>
    <r>
      <t xml:space="preserve">somma it </t>
    </r>
    <r>
      <rPr>
        <vertAlign val="subscript"/>
        <sz val="11"/>
        <color theme="1"/>
        <rFont val="Calibri"/>
        <family val="2"/>
        <scheme val="minor"/>
      </rPr>
      <t>inf</t>
    </r>
    <r>
      <rPr>
        <sz val="11"/>
        <color theme="1"/>
        <rFont val="Calibri"/>
        <family val="2"/>
        <scheme val="minor"/>
      </rPr>
      <t xml:space="preserve"> /lt</t>
    </r>
  </si>
  <si>
    <t>∑Ky</t>
  </si>
  <si>
    <t>∑Kx</t>
  </si>
  <si>
    <t>xGk</t>
  </si>
  <si>
    <t>yGk</t>
  </si>
  <si>
    <t>xGm</t>
  </si>
  <si>
    <t>yGm</t>
  </si>
  <si>
    <t>SEZIONI PILASTRI</t>
  </si>
  <si>
    <t>Calcolo valore percentuale    0,2%</t>
  </si>
  <si>
    <t>1 IMPALCATO</t>
  </si>
  <si>
    <t>2 IMPALCATO</t>
  </si>
  <si>
    <t>3 IMPALCATO</t>
  </si>
  <si>
    <t>4 IMPALCATO</t>
  </si>
  <si>
    <t>5 IMPALCATO</t>
  </si>
  <si>
    <t>6 IMPALCATO      +COPERTURA</t>
  </si>
  <si>
    <t>Impalcati</t>
  </si>
  <si>
    <t>Altezza                                                                     cm</t>
  </si>
  <si>
    <t>Base                                                       cm</t>
  </si>
  <si>
    <t>SEZIONI TRAVI   Emergenti</t>
  </si>
  <si>
    <t>SEZIONI TRAVI   a Spessore</t>
  </si>
  <si>
    <t xml:space="preserve">ΔN da sisma +  Max        </t>
  </si>
  <si>
    <t>Δx              cm</t>
  </si>
  <si>
    <t>Δy                               cm</t>
  </si>
  <si>
    <t>Δx              m</t>
  </si>
  <si>
    <t>Δy                               m</t>
  </si>
  <si>
    <t>telaio</t>
  </si>
  <si>
    <t>campata</t>
  </si>
  <si>
    <t>1-2</t>
  </si>
  <si>
    <t>7-8</t>
  </si>
  <si>
    <t>2-3</t>
  </si>
  <si>
    <t>8-9</t>
  </si>
  <si>
    <t>13-14</t>
  </si>
  <si>
    <t>4-5</t>
  </si>
  <si>
    <t>15-16</t>
  </si>
  <si>
    <t>16-17</t>
  </si>
  <si>
    <t>9-10</t>
  </si>
  <si>
    <t>10-11</t>
  </si>
  <si>
    <t>12-13</t>
  </si>
  <si>
    <t>18-19</t>
  </si>
  <si>
    <t>19-20</t>
  </si>
  <si>
    <t>21-22</t>
  </si>
  <si>
    <t>Ltrave [m]</t>
  </si>
  <si>
    <t>q senza sisma         [kN/m]</t>
  </si>
  <si>
    <t>q con sisma         [kN/m]</t>
  </si>
  <si>
    <t>angolo rampa   [rad]</t>
  </si>
  <si>
    <t>q</t>
  </si>
  <si>
    <t>Carichi verticali Senza sisma</t>
  </si>
  <si>
    <t>solaio + incidenza tramezzi     kN/m2</t>
  </si>
  <si>
    <t>balcone    kN/m2</t>
  </si>
  <si>
    <t>scala   kN/m2</t>
  </si>
  <si>
    <t>trave emergente(30X70)  kN/m2</t>
  </si>
  <si>
    <t>trave emergente(30X60)   kN/m2</t>
  </si>
  <si>
    <t>trave emergente(30X50)   kN/m2</t>
  </si>
  <si>
    <t>trave a spessore(90X22) kN/m2</t>
  </si>
  <si>
    <t>pilastro  6° ordine  30*60    kN/m2</t>
  </si>
  <si>
    <t>pilastro  5° ordine  30*60    kN/m2</t>
  </si>
  <si>
    <t>pilastro  4° ordine  30*70    kN/m2</t>
  </si>
  <si>
    <t>pilastro  3° ordine  30*70    kN/m2</t>
  </si>
  <si>
    <t>pilastro  2° ordine  30*80    kN/m2</t>
  </si>
  <si>
    <t>pilastro  1° ordine  30*80     kN/m2</t>
  </si>
  <si>
    <t>tamponatura   kN/m</t>
  </si>
  <si>
    <t>tramezzi   kN/m</t>
  </si>
  <si>
    <t>senza sisma    [kN]</t>
  </si>
  <si>
    <t>con sisma    [kN]</t>
  </si>
  <si>
    <t>telaio 2</t>
  </si>
  <si>
    <t>telaio 3</t>
  </si>
  <si>
    <t>23-24</t>
  </si>
  <si>
    <t>24-25</t>
  </si>
  <si>
    <t>25-26</t>
  </si>
  <si>
    <t>27-28</t>
  </si>
  <si>
    <t>28-29</t>
  </si>
  <si>
    <t>29-30</t>
  </si>
  <si>
    <t>17-18</t>
  </si>
  <si>
    <t>20-21</t>
  </si>
  <si>
    <t>11-12</t>
  </si>
  <si>
    <t>5-6</t>
  </si>
  <si>
    <t>23-15</t>
  </si>
  <si>
    <t>26-18</t>
  </si>
  <si>
    <t>27-19</t>
  </si>
  <si>
    <t>30-22</t>
  </si>
  <si>
    <t>pesi equivalenti per le travi(casi particolari tipo travi in cui poggia la scala e trave di copertura)</t>
  </si>
  <si>
    <t>PRIMO IMPALCATO</t>
  </si>
  <si>
    <t>lunghezza  sbalzo</t>
  </si>
  <si>
    <t>lunghezza scala</t>
  </si>
  <si>
    <t>lunghezza  solaio SUP</t>
  </si>
  <si>
    <t>lunghezza  solaio  INF</t>
  </si>
  <si>
    <t>trave emergente(30X70)  kN/m</t>
  </si>
  <si>
    <t>trave emergente(30X60)   kN/m</t>
  </si>
  <si>
    <t>trave emergente(30X50)   kN/m</t>
  </si>
  <si>
    <t>trave a spessore(90X22) kN/m</t>
  </si>
  <si>
    <t>pilastro  6° ordine  30*60    kN/m</t>
  </si>
  <si>
    <t>pilastro  5° ordine  30*60    kN/m</t>
  </si>
  <si>
    <t>pilastro  4° ordine  30*70    kN/m</t>
  </si>
  <si>
    <t>pilastro  3° ordine  30*70    kN/m</t>
  </si>
  <si>
    <t>pilastro  2° ordine  30*80    kN/m</t>
  </si>
  <si>
    <t>pilastro  1° ordine  30*80     kN/m</t>
  </si>
  <si>
    <t>SECONDO IMPALCATO e TERZO IMPALCATO</t>
  </si>
  <si>
    <t>QUARTO IMPALCATO e QUINTO IMPALCATO</t>
  </si>
  <si>
    <t xml:space="preserve">SESTO IMPALCATO+COPERTURA </t>
  </si>
  <si>
    <t>lunghezza  copertura</t>
  </si>
  <si>
    <t>26-27</t>
  </si>
  <si>
    <t>cop</t>
  </si>
  <si>
    <t>3-4</t>
  </si>
  <si>
    <t>15-7</t>
  </si>
  <si>
    <t>7-1</t>
  </si>
  <si>
    <t>22-14</t>
  </si>
  <si>
    <t>14-6</t>
  </si>
  <si>
    <t>Tipo di Carico</t>
  </si>
  <si>
    <t>Peso   (kN)</t>
  </si>
  <si>
    <t xml:space="preserve">Primo Impalcato </t>
  </si>
  <si>
    <t xml:space="preserve">Secondo Impalcato </t>
  </si>
  <si>
    <t xml:space="preserve">Terzo Impalcato </t>
  </si>
  <si>
    <t xml:space="preserve">Quarto Impalcato </t>
  </si>
  <si>
    <t xml:space="preserve">Quinto Impalcato </t>
  </si>
  <si>
    <t xml:space="preserve">Sesto Impalcato </t>
  </si>
  <si>
    <t>Sbalzo piano tipo   kN/m2</t>
  </si>
  <si>
    <t>Solaio primo impalcato      kN/m2</t>
  </si>
  <si>
    <t>Sbalzo Copertura   kN/m2</t>
  </si>
  <si>
    <t>Solaio piano tipo(senza sbalzo piano tipo)      kN/m2</t>
  </si>
  <si>
    <t>Solaio Copertura(senza sbalzo copertura)   kN/m2</t>
  </si>
  <si>
    <r>
      <t>Quantità    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</si>
  <si>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Scala e ascensore   kN/m2</t>
  </si>
  <si>
    <t>PESO TOTALE DELL'IMPALCATO</t>
  </si>
  <si>
    <t>MASSA DELL'IMPALCATO</t>
  </si>
  <si>
    <t>AREA</t>
  </si>
  <si>
    <t>PESO MEDIO</t>
  </si>
  <si>
    <t>Peso unitario           stimato</t>
  </si>
  <si>
    <t>Peso unitario           calcolato</t>
  </si>
  <si>
    <t>Peso impalcato stiamto</t>
  </si>
  <si>
    <t>Peso impalcato calcolato</t>
  </si>
  <si>
    <t>Massa   stimata</t>
  </si>
  <si>
    <t>Massa   calcolata</t>
  </si>
  <si>
    <t>Superfice  stimata</t>
  </si>
  <si>
    <t>Superfice  calcolata</t>
  </si>
  <si>
    <t>senza sisma</t>
  </si>
  <si>
    <t>con sisma</t>
  </si>
  <si>
    <t xml:space="preserve">  15-7</t>
  </si>
  <si>
    <t xml:space="preserve">  7-1</t>
  </si>
  <si>
    <t>telaio1</t>
  </si>
  <si>
    <t>telaio6</t>
  </si>
  <si>
    <t>telaio7</t>
  </si>
  <si>
    <t xml:space="preserve"> 24-16</t>
  </si>
  <si>
    <t xml:space="preserve"> 16-8</t>
  </si>
  <si>
    <t xml:space="preserve"> 8-2</t>
  </si>
  <si>
    <t>telaio8</t>
  </si>
  <si>
    <t xml:space="preserve"> 25-17</t>
  </si>
  <si>
    <t xml:space="preserve"> 17-9 </t>
  </si>
  <si>
    <t xml:space="preserve"> 9-3</t>
  </si>
  <si>
    <t>telaio9</t>
  </si>
  <si>
    <t>telaio10</t>
  </si>
  <si>
    <t xml:space="preserve"> 26-18</t>
  </si>
  <si>
    <t xml:space="preserve"> 18-10</t>
  </si>
  <si>
    <t xml:space="preserve"> 27-19</t>
  </si>
  <si>
    <t xml:space="preserve"> 19-11</t>
  </si>
  <si>
    <t>telaio11</t>
  </si>
  <si>
    <t>telaio12</t>
  </si>
  <si>
    <t>telaio13</t>
  </si>
  <si>
    <t xml:space="preserve"> 28-20</t>
  </si>
  <si>
    <t xml:space="preserve"> 20-12</t>
  </si>
  <si>
    <t xml:space="preserve"> 12-4</t>
  </si>
  <si>
    <t xml:space="preserve"> 29-21</t>
  </si>
  <si>
    <t xml:space="preserve"> 21-13</t>
  </si>
  <si>
    <t xml:space="preserve"> 13-5</t>
  </si>
  <si>
    <t xml:space="preserve"> 22-14</t>
  </si>
  <si>
    <t xml:space="preserve"> 14-6</t>
  </si>
  <si>
    <t>Trave su cui grava solo il peso proprio e non il solaio</t>
  </si>
  <si>
    <t>Approccio globale semplificato piano 4</t>
  </si>
  <si>
    <t>Approccio globale semplificato piano 3</t>
  </si>
  <si>
    <t>Approccio globale semplificato piano 5</t>
  </si>
  <si>
    <t xml:space="preserve">ΔN da sisma - Min         </t>
  </si>
  <si>
    <t>(30x60) 5f20</t>
  </si>
  <si>
    <t>(30x70)  5f22</t>
  </si>
  <si>
    <t>(30x80) 5f22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</si>
</sst>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AcadEref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vertAlign val="sub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6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gradientFill degree="135">
        <stop position="0">
          <color theme="0"/>
        </stop>
        <stop position="1">
          <color theme="7" tint="0.40000610370189521"/>
        </stop>
      </gradientFill>
    </fill>
    <fill>
      <gradientFill degree="90">
        <stop position="0">
          <color theme="0"/>
        </stop>
        <stop position="1">
          <color theme="7" tint="0.40000610370189521"/>
        </stop>
      </gradientFill>
    </fill>
    <fill>
      <patternFill patternType="solid">
        <fgColor theme="4" tint="0.59999389629810485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double">
        <color theme="4"/>
      </top>
      <bottom style="double">
        <color theme="4"/>
      </bottom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16" applyNumberFormat="0" applyFill="0" applyAlignment="0" applyProtection="0"/>
  </cellStyleXfs>
  <cellXfs count="285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0" fillId="4" borderId="0" xfId="0" applyFill="1"/>
    <xf numFmtId="0" fontId="1" fillId="0" borderId="0" xfId="0" applyFont="1" applyAlignment="1">
      <alignment horizontal="center" wrapText="1"/>
    </xf>
    <xf numFmtId="164" fontId="0" fillId="6" borderId="0" xfId="0" applyNumberFormat="1" applyFill="1"/>
    <xf numFmtId="0" fontId="0" fillId="7" borderId="0" xfId="0" applyFill="1"/>
    <xf numFmtId="0" fontId="0" fillId="0" borderId="0" xfId="0" applyBorder="1"/>
    <xf numFmtId="0" fontId="0" fillId="0" borderId="4" xfId="0" applyBorder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2" fontId="0" fillId="0" borderId="0" xfId="0" applyNumberFormat="1"/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64" fontId="0" fillId="0" borderId="0" xfId="0" applyNumberFormat="1" applyAlignment="1"/>
    <xf numFmtId="164" fontId="0" fillId="0" borderId="5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2" fontId="0" fillId="2" borderId="7" xfId="0" applyNumberFormat="1" applyFill="1" applyBorder="1" applyAlignment="1">
      <alignment horizontal="center" vertical="center"/>
    </xf>
    <xf numFmtId="2" fontId="0" fillId="2" borderId="8" xfId="0" applyNumberFormat="1" applyFill="1" applyBorder="1" applyAlignment="1">
      <alignment horizontal="center" vertical="center"/>
    </xf>
    <xf numFmtId="0" fontId="1" fillId="10" borderId="10" xfId="0" applyFont="1" applyFill="1" applyBorder="1" applyAlignment="1">
      <alignment horizontal="center" vertical="center" wrapText="1"/>
    </xf>
    <xf numFmtId="2" fontId="0" fillId="10" borderId="11" xfId="0" applyNumberFormat="1" applyFill="1" applyBorder="1" applyAlignment="1">
      <alignment horizontal="center" vertical="center"/>
    </xf>
    <xf numFmtId="2" fontId="0" fillId="10" borderId="12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/>
    </xf>
    <xf numFmtId="0" fontId="0" fillId="0" borderId="6" xfId="0" applyBorder="1" applyAlignment="1">
      <alignment horizontal="center"/>
    </xf>
    <xf numFmtId="2" fontId="0" fillId="0" borderId="7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164" fontId="0" fillId="11" borderId="3" xfId="0" applyNumberFormat="1" applyFill="1" applyBorder="1"/>
    <xf numFmtId="0" fontId="0" fillId="11" borderId="4" xfId="0" applyFill="1" applyBorder="1" applyAlignment="1">
      <alignment horizontal="center" vertical="center"/>
    </xf>
    <xf numFmtId="164" fontId="0" fillId="11" borderId="5" xfId="0" applyNumberFormat="1" applyFill="1" applyBorder="1" applyAlignment="1">
      <alignment horizontal="center" vertical="center"/>
    </xf>
    <xf numFmtId="0" fontId="0" fillId="11" borderId="4" xfId="0" applyFill="1" applyBorder="1"/>
    <xf numFmtId="0" fontId="0" fillId="11" borderId="6" xfId="0" applyFill="1" applyBorder="1" applyAlignment="1">
      <alignment horizontal="center" vertical="center"/>
    </xf>
    <xf numFmtId="164" fontId="0" fillId="11" borderId="8" xfId="0" applyNumberForma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/>
    <xf numFmtId="2" fontId="0" fillId="12" borderId="13" xfId="0" applyNumberFormat="1" applyFill="1" applyBorder="1" applyAlignment="1">
      <alignment horizontal="center" vertical="center"/>
    </xf>
    <xf numFmtId="2" fontId="0" fillId="12" borderId="14" xfId="0" applyNumberFormat="1" applyFill="1" applyBorder="1" applyAlignment="1">
      <alignment horizontal="center" vertical="center"/>
    </xf>
    <xf numFmtId="0" fontId="17" fillId="14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4" xfId="0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7" fillId="14" borderId="3" xfId="0" applyFont="1" applyFill="1" applyBorder="1" applyAlignment="1">
      <alignment horizontal="center" vertical="center"/>
    </xf>
    <xf numFmtId="0" fontId="0" fillId="0" borderId="5" xfId="0" applyBorder="1"/>
    <xf numFmtId="0" fontId="1" fillId="0" borderId="0" xfId="0" applyFont="1" applyBorder="1" applyAlignment="1">
      <alignment horizontal="center" wrapText="1"/>
    </xf>
    <xf numFmtId="0" fontId="17" fillId="14" borderId="5" xfId="0" applyFont="1" applyFill="1" applyBorder="1" applyAlignment="1">
      <alignment horizontal="center" vertical="center"/>
    </xf>
    <xf numFmtId="0" fontId="0" fillId="0" borderId="8" xfId="0" applyBorder="1"/>
    <xf numFmtId="0" fontId="0" fillId="0" borderId="0" xfId="0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7" xfId="0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0" fontId="4" fillId="17" borderId="1" xfId="0" applyFont="1" applyFill="1" applyBorder="1" applyAlignment="1">
      <alignment horizontal="center" vertical="center" wrapText="1"/>
    </xf>
    <xf numFmtId="0" fontId="4" fillId="17" borderId="3" xfId="0" applyFont="1" applyFill="1" applyBorder="1" applyAlignment="1">
      <alignment horizontal="center" vertical="center" wrapText="1"/>
    </xf>
    <xf numFmtId="2" fontId="0" fillId="17" borderId="4" xfId="0" applyNumberFormat="1" applyFill="1" applyBorder="1" applyAlignment="1">
      <alignment horizontal="center" vertical="center"/>
    </xf>
    <xf numFmtId="2" fontId="0" fillId="17" borderId="5" xfId="0" applyNumberFormat="1" applyFill="1" applyBorder="1" applyAlignment="1">
      <alignment horizontal="center" vertical="center"/>
    </xf>
    <xf numFmtId="2" fontId="0" fillId="17" borderId="6" xfId="0" applyNumberFormat="1" applyFill="1" applyBorder="1" applyAlignment="1">
      <alignment horizontal="center" vertical="center"/>
    </xf>
    <xf numFmtId="2" fontId="0" fillId="17" borderId="8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2" borderId="16" xfId="1" applyFill="1" applyAlignment="1">
      <alignment horizontal="center"/>
    </xf>
    <xf numFmtId="0" fontId="1" fillId="2" borderId="16" xfId="1" applyFill="1" applyAlignment="1">
      <alignment horizontal="center" vertical="center"/>
    </xf>
    <xf numFmtId="2" fontId="1" fillId="2" borderId="17" xfId="1" applyNumberFormat="1" applyFill="1" applyBorder="1" applyAlignment="1">
      <alignment horizontal="center" vertical="center"/>
    </xf>
    <xf numFmtId="0" fontId="1" fillId="2" borderId="17" xfId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9" fontId="0" fillId="0" borderId="18" xfId="0" applyNumberFormat="1" applyBorder="1" applyAlignment="1">
      <alignment horizontal="center" vertical="center"/>
    </xf>
    <xf numFmtId="0" fontId="0" fillId="0" borderId="18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2" fontId="0" fillId="0" borderId="18" xfId="0" applyNumberFormat="1" applyFill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164" fontId="0" fillId="0" borderId="0" xfId="0" applyNumberFormat="1" applyAlignment="1">
      <alignment horizontal="center"/>
    </xf>
    <xf numFmtId="2" fontId="0" fillId="0" borderId="5" xfId="0" applyNumberFormat="1" applyBorder="1" applyAlignment="1">
      <alignment horizontal="center"/>
    </xf>
    <xf numFmtId="164" fontId="0" fillId="0" borderId="0" xfId="0" applyNumberFormat="1"/>
    <xf numFmtId="164" fontId="0" fillId="0" borderId="0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1" fillId="2" borderId="17" xfId="1" applyNumberFormat="1" applyFill="1" applyBorder="1" applyAlignment="1">
      <alignment horizontal="center" vertical="center"/>
    </xf>
    <xf numFmtId="0" fontId="1" fillId="2" borderId="17" xfId="1" applyFill="1" applyBorder="1" applyAlignment="1">
      <alignment horizontal="center" vertical="center"/>
    </xf>
    <xf numFmtId="0" fontId="1" fillId="2" borderId="16" xfId="1" applyFill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Border="1"/>
    <xf numFmtId="0" fontId="1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18" borderId="2" xfId="0" applyFont="1" applyFill="1" applyBorder="1" applyAlignment="1">
      <alignment horizontal="center" vertical="center" wrapText="1"/>
    </xf>
    <xf numFmtId="0" fontId="1" fillId="18" borderId="3" xfId="0" applyFont="1" applyFill="1" applyBorder="1" applyAlignment="1">
      <alignment horizontal="center" vertical="center" wrapText="1"/>
    </xf>
    <xf numFmtId="0" fontId="0" fillId="18" borderId="0" xfId="0" applyFill="1" applyBorder="1" applyAlignment="1">
      <alignment horizontal="center" vertical="center"/>
    </xf>
    <xf numFmtId="0" fontId="0" fillId="18" borderId="5" xfId="0" applyFill="1" applyBorder="1" applyAlignment="1">
      <alignment horizontal="center" vertical="center"/>
    </xf>
    <xf numFmtId="164" fontId="0" fillId="2" borderId="0" xfId="0" applyNumberFormat="1" applyFill="1" applyBorder="1" applyAlignment="1">
      <alignment horizontal="center" vertical="center"/>
    </xf>
    <xf numFmtId="164" fontId="0" fillId="18" borderId="0" xfId="0" applyNumberFormat="1" applyFill="1" applyBorder="1" applyAlignment="1">
      <alignment horizontal="center" vertical="center"/>
    </xf>
    <xf numFmtId="164" fontId="0" fillId="18" borderId="5" xfId="0" applyNumberFormat="1" applyFill="1" applyBorder="1" applyAlignment="1">
      <alignment horizontal="center" vertical="center"/>
    </xf>
    <xf numFmtId="164" fontId="0" fillId="2" borderId="7" xfId="0" applyNumberFormat="1" applyFill="1" applyBorder="1" applyAlignment="1">
      <alignment horizontal="center" vertical="center"/>
    </xf>
    <xf numFmtId="164" fontId="0" fillId="18" borderId="7" xfId="0" applyNumberFormat="1" applyFill="1" applyBorder="1" applyAlignment="1">
      <alignment horizontal="center" vertical="center"/>
    </xf>
    <xf numFmtId="0" fontId="0" fillId="18" borderId="7" xfId="0" applyFill="1" applyBorder="1" applyAlignment="1">
      <alignment horizontal="center" vertical="center"/>
    </xf>
    <xf numFmtId="0" fontId="0" fillId="18" borderId="8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21" xfId="0" applyBorder="1"/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16" fontId="0" fillId="0" borderId="29" xfId="0" applyNumberFormat="1" applyBorder="1" applyAlignment="1">
      <alignment horizontal="center" vertical="center"/>
    </xf>
    <xf numFmtId="2" fontId="0" fillId="0" borderId="28" xfId="0" applyNumberFormat="1" applyBorder="1" applyAlignment="1">
      <alignment horizontal="center" vertical="center"/>
    </xf>
    <xf numFmtId="49" fontId="0" fillId="0" borderId="30" xfId="0" applyNumberFormat="1" applyFill="1" applyBorder="1" applyAlignment="1">
      <alignment horizontal="center" vertical="center"/>
    </xf>
    <xf numFmtId="2" fontId="0" fillId="0" borderId="30" xfId="0" applyNumberFormat="1" applyFill="1" applyBorder="1" applyAlignment="1">
      <alignment horizontal="center" vertical="center"/>
    </xf>
    <xf numFmtId="2" fontId="0" fillId="0" borderId="15" xfId="0" applyNumberFormat="1" applyFill="1" applyBorder="1" applyAlignment="1">
      <alignment horizontal="center" vertical="center"/>
    </xf>
    <xf numFmtId="2" fontId="0" fillId="0" borderId="29" xfId="0" applyNumberFormat="1" applyBorder="1" applyAlignment="1">
      <alignment horizontal="center" vertical="center"/>
    </xf>
    <xf numFmtId="2" fontId="0" fillId="0" borderId="30" xfId="0" applyNumberFormat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2" fontId="0" fillId="0" borderId="33" xfId="0" applyNumberForma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6" borderId="0" xfId="0" applyFill="1" applyAlignment="1">
      <alignment horizontal="center"/>
    </xf>
    <xf numFmtId="0" fontId="1" fillId="5" borderId="0" xfId="0" applyFont="1" applyFill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3" borderId="0" xfId="0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2" borderId="0" xfId="0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5" fillId="8" borderId="1" xfId="0" applyFont="1" applyFill="1" applyBorder="1" applyAlignment="1">
      <alignment horizontal="center"/>
    </xf>
    <xf numFmtId="0" fontId="5" fillId="8" borderId="2" xfId="0" applyFont="1" applyFill="1" applyBorder="1" applyAlignment="1">
      <alignment horizontal="center"/>
    </xf>
    <xf numFmtId="0" fontId="5" fillId="8" borderId="3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9" borderId="0" xfId="0" applyFont="1" applyFill="1" applyBorder="1" applyAlignment="1">
      <alignment horizontal="center" vertical="center"/>
    </xf>
    <xf numFmtId="0" fontId="6" fillId="9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19" borderId="4" xfId="0" applyFill="1" applyBorder="1" applyAlignment="1">
      <alignment horizontal="center" vertical="center"/>
    </xf>
    <xf numFmtId="0" fontId="0" fillId="19" borderId="0" xfId="0" applyFill="1" applyBorder="1" applyAlignment="1">
      <alignment horizontal="center" vertical="center"/>
    </xf>
    <xf numFmtId="0" fontId="0" fillId="19" borderId="6" xfId="0" applyFill="1" applyBorder="1" applyAlignment="1">
      <alignment horizontal="center" vertical="center"/>
    </xf>
    <xf numFmtId="0" fontId="0" fillId="19" borderId="7" xfId="0" applyFill="1" applyBorder="1" applyAlignment="1">
      <alignment horizontal="center" vertical="center"/>
    </xf>
    <xf numFmtId="0" fontId="1" fillId="19" borderId="1" xfId="0" applyFont="1" applyFill="1" applyBorder="1" applyAlignment="1">
      <alignment horizontal="center" vertical="center"/>
    </xf>
    <xf numFmtId="0" fontId="1" fillId="19" borderId="2" xfId="0" applyFont="1" applyFill="1" applyBorder="1" applyAlignment="1">
      <alignment horizontal="center" vertical="center"/>
    </xf>
    <xf numFmtId="0" fontId="0" fillId="19" borderId="4" xfId="0" applyFill="1" applyBorder="1" applyAlignment="1">
      <alignment horizontal="center"/>
    </xf>
    <xf numFmtId="0" fontId="0" fillId="19" borderId="0" xfId="0" applyFill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2" fontId="1" fillId="2" borderId="17" xfId="1" applyNumberFormat="1" applyFill="1" applyBorder="1" applyAlignment="1">
      <alignment horizontal="center" vertical="center"/>
    </xf>
    <xf numFmtId="0" fontId="1" fillId="0" borderId="22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2" borderId="17" xfId="1" applyFill="1" applyBorder="1" applyAlignment="1">
      <alignment horizontal="center" vertical="center"/>
    </xf>
    <xf numFmtId="0" fontId="1" fillId="2" borderId="16" xfId="1" applyFill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31" xfId="0" applyBorder="1" applyAlignment="1">
      <alignment horizontal="center"/>
    </xf>
    <xf numFmtId="0" fontId="5" fillId="0" borderId="1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0" fillId="16" borderId="4" xfId="0" applyFill="1" applyBorder="1" applyAlignment="1">
      <alignment horizontal="center" vertical="center"/>
    </xf>
    <xf numFmtId="0" fontId="0" fillId="16" borderId="4" xfId="0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/>
    </xf>
    <xf numFmtId="0" fontId="20" fillId="2" borderId="3" xfId="0" applyFont="1" applyFill="1" applyBorder="1" applyAlignment="1">
      <alignment horizontal="center"/>
    </xf>
    <xf numFmtId="0" fontId="1" fillId="15" borderId="1" xfId="0" applyFont="1" applyFill="1" applyBorder="1" applyAlignment="1">
      <alignment horizontal="center"/>
    </xf>
    <xf numFmtId="0" fontId="1" fillId="15" borderId="2" xfId="0" applyFont="1" applyFill="1" applyBorder="1" applyAlignment="1">
      <alignment horizontal="center"/>
    </xf>
    <xf numFmtId="0" fontId="1" fillId="15" borderId="3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19" fillId="13" borderId="6" xfId="0" applyFont="1" applyFill="1" applyBorder="1" applyAlignment="1">
      <alignment horizontal="center"/>
    </xf>
    <xf numFmtId="0" fontId="0" fillId="13" borderId="7" xfId="0" applyFill="1" applyBorder="1" applyAlignment="1">
      <alignment horizontal="center"/>
    </xf>
    <xf numFmtId="0" fontId="19" fillId="13" borderId="4" xfId="0" applyFont="1" applyFill="1" applyBorder="1" applyAlignment="1">
      <alignment horizontal="center"/>
    </xf>
    <xf numFmtId="0" fontId="0" fillId="13" borderId="0" xfId="0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9" fillId="13" borderId="0" xfId="0" applyFont="1" applyFill="1" applyAlignment="1">
      <alignment horizontal="center"/>
    </xf>
    <xf numFmtId="0" fontId="0" fillId="13" borderId="0" xfId="0" applyFill="1" applyAlignment="1">
      <alignment horizontal="center"/>
    </xf>
    <xf numFmtId="2" fontId="0" fillId="0" borderId="0" xfId="0" applyNumberFormat="1" applyAlignment="1">
      <alignment horizontal="center" vertical="center"/>
    </xf>
    <xf numFmtId="0" fontId="0" fillId="17" borderId="4" xfId="0" applyFill="1" applyBorder="1" applyAlignment="1">
      <alignment horizontal="center"/>
    </xf>
    <xf numFmtId="0" fontId="0" fillId="17" borderId="0" xfId="0" applyFill="1" applyBorder="1" applyAlignment="1">
      <alignment horizontal="center"/>
    </xf>
    <xf numFmtId="0" fontId="0" fillId="17" borderId="6" xfId="0" applyFill="1" applyBorder="1" applyAlignment="1">
      <alignment horizontal="center"/>
    </xf>
    <xf numFmtId="0" fontId="0" fillId="17" borderId="7" xfId="0" applyFill="1" applyBorder="1" applyAlignment="1">
      <alignment horizontal="center"/>
    </xf>
    <xf numFmtId="0" fontId="1" fillId="17" borderId="1" xfId="0" applyFont="1" applyFill="1" applyBorder="1" applyAlignment="1">
      <alignment horizontal="center" vertical="center"/>
    </xf>
    <xf numFmtId="0" fontId="1" fillId="17" borderId="2" xfId="0" applyFont="1" applyFill="1" applyBorder="1" applyAlignment="1">
      <alignment horizontal="center" vertical="center"/>
    </xf>
  </cellXfs>
  <cellStyles count="2">
    <cellStyle name="Normale" xfId="0" builtinId="0"/>
    <cellStyle name="Totale" xfId="1" builtinId="25"/>
  </cellStyles>
  <dxfs count="0"/>
  <tableStyles count="0" defaultTableStyle="TableStyleMedium2" defaultPivotStyle="PivotStyleLight16"/>
  <colors>
    <mruColors>
      <color rgb="FFFF505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20</xdr:row>
      <xdr:rowOff>35719</xdr:rowOff>
    </xdr:from>
    <xdr:to>
      <xdr:col>3</xdr:col>
      <xdr:colOff>1214438</xdr:colOff>
      <xdr:row>21</xdr:row>
      <xdr:rowOff>130969</xdr:rowOff>
    </xdr:to>
    <xdr:sp macro="" textlink="">
      <xdr:nvSpPr>
        <xdr:cNvPr id="4" name="Freccia a destra 3"/>
        <xdr:cNvSpPr/>
      </xdr:nvSpPr>
      <xdr:spPr>
        <a:xfrm>
          <a:off x="5834063" y="6060282"/>
          <a:ext cx="928688" cy="285750"/>
        </a:xfrm>
        <a:prstGeom prst="rightArrow">
          <a:avLst/>
        </a:prstGeom>
        <a:solidFill>
          <a:srgbClr val="FF0000"/>
        </a:solid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/>
        </a:p>
      </xdr:txBody>
    </xdr:sp>
    <xdr:clientData/>
  </xdr:twoCellAnchor>
  <xdr:twoCellAnchor editAs="oneCell">
    <xdr:from>
      <xdr:col>2</xdr:col>
      <xdr:colOff>1573771</xdr:colOff>
      <xdr:row>42</xdr:row>
      <xdr:rowOff>161923</xdr:rowOff>
    </xdr:from>
    <xdr:to>
      <xdr:col>6</xdr:col>
      <xdr:colOff>707572</xdr:colOff>
      <xdr:row>61</xdr:row>
      <xdr:rowOff>54428</xdr:rowOff>
    </xdr:to>
    <xdr:pic>
      <xdr:nvPicPr>
        <xdr:cNvPr id="5" name="Immagin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2128" y="10489744"/>
          <a:ext cx="5719658" cy="3797755"/>
        </a:xfrm>
        <a:prstGeom prst="rect">
          <a:avLst/>
        </a:prstGeom>
      </xdr:spPr>
    </xdr:pic>
    <xdr:clientData/>
  </xdr:twoCellAnchor>
  <xdr:twoCellAnchor>
    <xdr:from>
      <xdr:col>2</xdr:col>
      <xdr:colOff>204107</xdr:colOff>
      <xdr:row>43</xdr:row>
      <xdr:rowOff>68036</xdr:rowOff>
    </xdr:from>
    <xdr:to>
      <xdr:col>2</xdr:col>
      <xdr:colOff>993322</xdr:colOff>
      <xdr:row>47</xdr:row>
      <xdr:rowOff>95251</xdr:rowOff>
    </xdr:to>
    <xdr:cxnSp macro="">
      <xdr:nvCxnSpPr>
        <xdr:cNvPr id="7" name="Connettore 2 6"/>
        <xdr:cNvCxnSpPr/>
      </xdr:nvCxnSpPr>
      <xdr:spPr>
        <a:xfrm>
          <a:off x="3932464" y="10191750"/>
          <a:ext cx="789215" cy="789215"/>
        </a:xfrm>
        <a:prstGeom prst="straightConnector1">
          <a:avLst/>
        </a:prstGeom>
        <a:ln w="88900"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381001</xdr:colOff>
      <xdr:row>34</xdr:row>
      <xdr:rowOff>68036</xdr:rowOff>
    </xdr:from>
    <xdr:to>
      <xdr:col>2</xdr:col>
      <xdr:colOff>1197428</xdr:colOff>
      <xdr:row>37</xdr:row>
      <xdr:rowOff>231322</xdr:rowOff>
    </xdr:to>
    <xdr:cxnSp macro="">
      <xdr:nvCxnSpPr>
        <xdr:cNvPr id="11" name="Connettore 2 10"/>
        <xdr:cNvCxnSpPr/>
      </xdr:nvCxnSpPr>
      <xdr:spPr>
        <a:xfrm flipV="1">
          <a:off x="4109358" y="8177893"/>
          <a:ext cx="816427" cy="748393"/>
        </a:xfrm>
        <a:prstGeom prst="straightConnector1">
          <a:avLst/>
        </a:prstGeom>
        <a:ln w="88900"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1523999</xdr:colOff>
      <xdr:row>24</xdr:row>
      <xdr:rowOff>40821</xdr:rowOff>
    </xdr:from>
    <xdr:to>
      <xdr:col>6</xdr:col>
      <xdr:colOff>734785</xdr:colOff>
      <xdr:row>42</xdr:row>
      <xdr:rowOff>62721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2356" y="6463392"/>
          <a:ext cx="5796643" cy="3927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">
    <tabColor rgb="FFFF0000"/>
  </sheetPr>
  <dimension ref="A1:O25"/>
  <sheetViews>
    <sheetView zoomScale="90" zoomScaleNormal="90" workbookViewId="0">
      <selection activeCell="E3" sqref="E3:F3"/>
    </sheetView>
  </sheetViews>
  <sheetFormatPr defaultRowHeight="15" x14ac:dyDescent="0.25"/>
  <cols>
    <col min="1" max="3" width="9.140625" customWidth="1"/>
    <col min="7" max="7" width="9.5703125" bestFit="1" customWidth="1"/>
    <col min="9" max="9" width="17.28515625" customWidth="1"/>
    <col min="10" max="10" width="18.5703125" customWidth="1"/>
    <col min="11" max="11" width="7.140625" customWidth="1"/>
    <col min="12" max="12" width="12" customWidth="1"/>
    <col min="13" max="13" width="12.42578125" customWidth="1"/>
    <col min="14" max="14" width="18.5703125" customWidth="1"/>
  </cols>
  <sheetData>
    <row r="1" spans="1:15" x14ac:dyDescent="0.25">
      <c r="A1" s="201" t="s">
        <v>0</v>
      </c>
      <c r="B1" s="201"/>
      <c r="C1" s="201" t="s">
        <v>28</v>
      </c>
      <c r="D1" s="202"/>
      <c r="E1" s="201" t="s">
        <v>12</v>
      </c>
      <c r="F1" s="202"/>
      <c r="G1" s="201" t="s">
        <v>1</v>
      </c>
      <c r="H1" s="202"/>
      <c r="I1" s="76" t="s">
        <v>2</v>
      </c>
      <c r="J1" s="201" t="s">
        <v>11</v>
      </c>
      <c r="K1" s="201"/>
      <c r="L1" s="201" t="s">
        <v>37</v>
      </c>
      <c r="M1" s="201"/>
      <c r="N1" s="201"/>
      <c r="O1" s="201"/>
    </row>
    <row r="2" spans="1:15" ht="14.25" customHeight="1" x14ac:dyDescent="0.25">
      <c r="A2" s="202"/>
      <c r="B2" s="202"/>
      <c r="C2" s="203" t="s">
        <v>13</v>
      </c>
      <c r="D2" s="203"/>
      <c r="E2" s="202" t="s">
        <v>15</v>
      </c>
      <c r="F2" s="202"/>
      <c r="G2" s="202" t="s">
        <v>16</v>
      </c>
      <c r="H2" s="202"/>
      <c r="I2" s="73" t="s">
        <v>26</v>
      </c>
      <c r="J2" s="202" t="s">
        <v>20</v>
      </c>
      <c r="K2" s="202"/>
      <c r="M2" s="6" t="s">
        <v>3</v>
      </c>
      <c r="N2" s="5">
        <f>0.075</f>
        <v>7.4999999999999997E-2</v>
      </c>
    </row>
    <row r="3" spans="1:15" x14ac:dyDescent="0.25">
      <c r="A3" s="202" t="s">
        <v>14</v>
      </c>
      <c r="B3" s="202"/>
      <c r="C3" s="94">
        <v>0</v>
      </c>
      <c r="D3" s="94"/>
      <c r="E3" s="202">
        <v>0</v>
      </c>
      <c r="F3" s="202"/>
      <c r="G3" s="202">
        <v>0</v>
      </c>
      <c r="H3" s="202"/>
      <c r="I3" s="74">
        <v>0</v>
      </c>
      <c r="J3" s="206">
        <v>0.5</v>
      </c>
      <c r="K3" s="206"/>
      <c r="M3" s="6" t="s">
        <v>4</v>
      </c>
      <c r="N3" s="5">
        <f>SUM(J3:K9)</f>
        <v>20.6</v>
      </c>
    </row>
    <row r="4" spans="1:15" x14ac:dyDescent="0.25">
      <c r="A4" s="202" t="s">
        <v>47</v>
      </c>
      <c r="B4" s="202"/>
      <c r="C4" s="28">
        <v>397.1</v>
      </c>
      <c r="D4" s="28"/>
      <c r="E4" s="202">
        <v>12</v>
      </c>
      <c r="F4" s="202"/>
      <c r="G4" s="202">
        <f>C4*E4</f>
        <v>4765.2000000000007</v>
      </c>
      <c r="H4" s="202"/>
      <c r="I4" s="74">
        <f>G4/9.81</f>
        <v>485.74923547400618</v>
      </c>
      <c r="J4" s="202">
        <v>3.3</v>
      </c>
      <c r="K4" s="202"/>
      <c r="M4" s="6" t="s">
        <v>5</v>
      </c>
      <c r="N4" s="102">
        <f>N2*((N3)^(3/4))</f>
        <v>0.7252064844064332</v>
      </c>
    </row>
    <row r="5" spans="1:15" x14ac:dyDescent="0.25">
      <c r="A5" s="202">
        <v>5</v>
      </c>
      <c r="B5" s="202"/>
      <c r="C5" s="28">
        <v>382.12</v>
      </c>
      <c r="D5" s="28"/>
      <c r="E5" s="202">
        <v>10</v>
      </c>
      <c r="F5" s="202"/>
      <c r="G5" s="202">
        <f t="shared" ref="G5:G9" si="0">C5*E5</f>
        <v>3821.2</v>
      </c>
      <c r="H5" s="202"/>
      <c r="I5" s="74">
        <f t="shared" ref="I5:I9" si="1">G5/9.81</f>
        <v>389.5208970438328</v>
      </c>
      <c r="J5" s="202">
        <v>3.3</v>
      </c>
      <c r="K5" s="202"/>
      <c r="M5" s="6" t="s">
        <v>7</v>
      </c>
      <c r="N5" s="5">
        <v>0.1</v>
      </c>
    </row>
    <row r="6" spans="1:15" x14ac:dyDescent="0.25">
      <c r="A6" s="202">
        <v>4</v>
      </c>
      <c r="B6" s="202"/>
      <c r="C6" s="28">
        <v>382.12</v>
      </c>
      <c r="D6" s="28"/>
      <c r="E6" s="202">
        <v>10</v>
      </c>
      <c r="F6" s="202"/>
      <c r="G6" s="202">
        <f t="shared" si="0"/>
        <v>3821.2</v>
      </c>
      <c r="H6" s="202"/>
      <c r="I6" s="74">
        <f t="shared" si="1"/>
        <v>389.5208970438328</v>
      </c>
      <c r="J6" s="202">
        <v>3.3</v>
      </c>
      <c r="K6" s="202"/>
      <c r="M6" s="6"/>
    </row>
    <row r="7" spans="1:15" x14ac:dyDescent="0.25">
      <c r="A7" s="202">
        <v>3</v>
      </c>
      <c r="B7" s="202"/>
      <c r="C7" s="28">
        <v>382.12</v>
      </c>
      <c r="D7" s="28"/>
      <c r="E7" s="202">
        <v>10</v>
      </c>
      <c r="F7" s="202"/>
      <c r="G7" s="202">
        <f t="shared" si="0"/>
        <v>3821.2</v>
      </c>
      <c r="H7" s="202"/>
      <c r="I7" s="74">
        <f t="shared" si="1"/>
        <v>389.5208970438328</v>
      </c>
      <c r="J7" s="202">
        <v>3.3</v>
      </c>
      <c r="K7" s="202"/>
    </row>
    <row r="8" spans="1:15" x14ac:dyDescent="0.25">
      <c r="A8" s="202">
        <v>2</v>
      </c>
      <c r="B8" s="202"/>
      <c r="C8" s="28">
        <v>382.12</v>
      </c>
      <c r="D8" s="28"/>
      <c r="E8" s="202">
        <v>10</v>
      </c>
      <c r="F8" s="202"/>
      <c r="G8" s="202">
        <f t="shared" si="0"/>
        <v>3821.2</v>
      </c>
      <c r="H8" s="202"/>
      <c r="I8" s="74">
        <f t="shared" si="1"/>
        <v>389.5208970438328</v>
      </c>
      <c r="J8" s="202">
        <v>3.3</v>
      </c>
      <c r="K8" s="202"/>
    </row>
    <row r="9" spans="1:15" x14ac:dyDescent="0.25">
      <c r="A9" s="202">
        <v>1</v>
      </c>
      <c r="B9" s="202"/>
      <c r="C9" s="7">
        <v>299.5</v>
      </c>
      <c r="D9" s="7"/>
      <c r="E9" s="202">
        <v>10</v>
      </c>
      <c r="F9" s="202"/>
      <c r="G9" s="202">
        <f t="shared" si="0"/>
        <v>2995</v>
      </c>
      <c r="H9" s="202"/>
      <c r="I9" s="74">
        <f t="shared" si="1"/>
        <v>305.30071355759429</v>
      </c>
      <c r="J9" s="202">
        <v>3.6</v>
      </c>
      <c r="K9" s="202"/>
    </row>
    <row r="10" spans="1:15" x14ac:dyDescent="0.25">
      <c r="A10" s="203" t="s">
        <v>23</v>
      </c>
      <c r="B10" s="203"/>
      <c r="C10">
        <f>SUM(G3:H9)</f>
        <v>23045.000000000004</v>
      </c>
      <c r="I10" s="72"/>
    </row>
    <row r="12" spans="1:15" x14ac:dyDescent="0.25">
      <c r="A12" s="204" t="s">
        <v>6</v>
      </c>
      <c r="B12" s="204"/>
      <c r="C12" s="11">
        <f>0.85*C10*N5</f>
        <v>1958.8250000000005</v>
      </c>
    </row>
    <row r="13" spans="1:15" x14ac:dyDescent="0.25">
      <c r="I13" s="145"/>
    </row>
    <row r="15" spans="1:15" x14ac:dyDescent="0.25">
      <c r="A15" s="205" t="s">
        <v>39</v>
      </c>
      <c r="B15" s="205"/>
      <c r="C15" s="205"/>
      <c r="D15" s="205"/>
    </row>
    <row r="16" spans="1:15" x14ac:dyDescent="0.25">
      <c r="A16" s="201" t="s">
        <v>17</v>
      </c>
      <c r="B16" s="201"/>
      <c r="C16" s="201" t="s">
        <v>18</v>
      </c>
      <c r="D16" s="202"/>
      <c r="E16" s="8" t="s">
        <v>19</v>
      </c>
      <c r="F16" s="3" t="s">
        <v>8</v>
      </c>
      <c r="G16" s="3" t="s">
        <v>22</v>
      </c>
    </row>
    <row r="17" spans="1:13" x14ac:dyDescent="0.25">
      <c r="A17" s="202"/>
      <c r="B17" s="202"/>
      <c r="C17" s="202" t="s">
        <v>16</v>
      </c>
      <c r="D17" s="202"/>
      <c r="E17" s="2" t="s">
        <v>20</v>
      </c>
      <c r="F17" s="2" t="s">
        <v>21</v>
      </c>
      <c r="G17" s="2" t="s">
        <v>16</v>
      </c>
    </row>
    <row r="18" spans="1:13" x14ac:dyDescent="0.25">
      <c r="A18" s="202" t="s">
        <v>14</v>
      </c>
      <c r="B18" s="202"/>
      <c r="C18" s="202">
        <v>0</v>
      </c>
      <c r="D18" s="202"/>
      <c r="E18" s="2">
        <v>0</v>
      </c>
      <c r="F18" s="1">
        <f t="shared" ref="F18:F24" si="2">C18*E18</f>
        <v>0</v>
      </c>
      <c r="G18" s="1">
        <f t="shared" ref="G18:G24" si="3">(F18/$C$25)*$C$12</f>
        <v>0</v>
      </c>
    </row>
    <row r="19" spans="1:13" x14ac:dyDescent="0.25">
      <c r="A19" s="202" t="s">
        <v>47</v>
      </c>
      <c r="B19" s="202"/>
      <c r="C19" s="202">
        <f t="shared" ref="C19:C24" si="4">G4</f>
        <v>4765.2000000000007</v>
      </c>
      <c r="D19" s="202"/>
      <c r="E19" s="15">
        <f>J9+J8+J7+J6+J5+J4+J3</f>
        <v>20.6</v>
      </c>
      <c r="F19" s="1">
        <f t="shared" si="2"/>
        <v>98163.120000000024</v>
      </c>
      <c r="G19" s="1">
        <f t="shared" si="3"/>
        <v>662.88955608646222</v>
      </c>
      <c r="L19" s="78"/>
      <c r="M19" s="7"/>
    </row>
    <row r="20" spans="1:13" x14ac:dyDescent="0.25">
      <c r="A20" s="202">
        <v>5</v>
      </c>
      <c r="B20" s="202"/>
      <c r="C20" s="202">
        <f t="shared" si="4"/>
        <v>3821.2</v>
      </c>
      <c r="D20" s="202"/>
      <c r="E20" s="2">
        <f>J9+J8+J7+J6+J5</f>
        <v>16.8</v>
      </c>
      <c r="F20" s="1">
        <f t="shared" si="2"/>
        <v>64196.159999999996</v>
      </c>
      <c r="G20" s="1">
        <f t="shared" si="3"/>
        <v>433.51274903299213</v>
      </c>
      <c r="L20" s="7"/>
      <c r="M20" s="7"/>
    </row>
    <row r="21" spans="1:13" x14ac:dyDescent="0.25">
      <c r="A21" s="202">
        <v>4</v>
      </c>
      <c r="B21" s="202"/>
      <c r="C21" s="202">
        <f t="shared" si="4"/>
        <v>3821.2</v>
      </c>
      <c r="D21" s="202"/>
      <c r="E21" s="2">
        <f>J9+J8+J7+J6</f>
        <v>13.5</v>
      </c>
      <c r="F21" s="1">
        <f t="shared" si="2"/>
        <v>51586.2</v>
      </c>
      <c r="G21" s="1">
        <f t="shared" si="3"/>
        <v>348.35845904436871</v>
      </c>
      <c r="H21" s="3"/>
    </row>
    <row r="22" spans="1:13" x14ac:dyDescent="0.25">
      <c r="A22" s="202">
        <v>3</v>
      </c>
      <c r="B22" s="202"/>
      <c r="C22" s="202">
        <f t="shared" si="4"/>
        <v>3821.2</v>
      </c>
      <c r="D22" s="202"/>
      <c r="E22" s="2">
        <f>J9+J8+J7</f>
        <v>10.199999999999999</v>
      </c>
      <c r="F22" s="1">
        <f t="shared" si="2"/>
        <v>38976.239999999998</v>
      </c>
      <c r="G22" s="1">
        <f t="shared" si="3"/>
        <v>263.20416905574524</v>
      </c>
      <c r="H22" s="4"/>
    </row>
    <row r="23" spans="1:13" x14ac:dyDescent="0.25">
      <c r="A23" s="202">
        <v>2</v>
      </c>
      <c r="B23" s="202"/>
      <c r="C23" s="202">
        <f t="shared" si="4"/>
        <v>3821.2</v>
      </c>
      <c r="D23" s="202"/>
      <c r="E23" s="2">
        <f>J9+J8</f>
        <v>6.9</v>
      </c>
      <c r="F23" s="1">
        <f t="shared" si="2"/>
        <v>26366.28</v>
      </c>
      <c r="G23" s="1">
        <f t="shared" si="3"/>
        <v>178.04987906712176</v>
      </c>
    </row>
    <row r="24" spans="1:13" x14ac:dyDescent="0.25">
      <c r="A24" s="202">
        <v>1</v>
      </c>
      <c r="B24" s="202"/>
      <c r="C24" s="202">
        <f t="shared" si="4"/>
        <v>2995</v>
      </c>
      <c r="D24" s="202"/>
      <c r="E24" s="2">
        <f>J9</f>
        <v>3.6</v>
      </c>
      <c r="F24" s="1">
        <f t="shared" si="2"/>
        <v>10782</v>
      </c>
      <c r="G24" s="1">
        <f t="shared" si="3"/>
        <v>72.810187713310597</v>
      </c>
    </row>
    <row r="25" spans="1:13" x14ac:dyDescent="0.25">
      <c r="A25" s="203" t="s">
        <v>38</v>
      </c>
      <c r="B25" s="203"/>
      <c r="C25">
        <f>SUM(F18:F24)</f>
        <v>290070</v>
      </c>
    </row>
  </sheetData>
  <mergeCells count="61">
    <mergeCell ref="J6:K6"/>
    <mergeCell ref="J7:K7"/>
    <mergeCell ref="J8:K8"/>
    <mergeCell ref="J9:K9"/>
    <mergeCell ref="J1:K1"/>
    <mergeCell ref="J2:K2"/>
    <mergeCell ref="J3:K3"/>
    <mergeCell ref="J4:K4"/>
    <mergeCell ref="J5:K5"/>
    <mergeCell ref="C16:D16"/>
    <mergeCell ref="C17:D17"/>
    <mergeCell ref="A15:D15"/>
    <mergeCell ref="A25:B25"/>
    <mergeCell ref="A17:B17"/>
    <mergeCell ref="C18:D18"/>
    <mergeCell ref="C19:D19"/>
    <mergeCell ref="C20:D20"/>
    <mergeCell ref="C21:D21"/>
    <mergeCell ref="C22:D22"/>
    <mergeCell ref="C23:D23"/>
    <mergeCell ref="C24:D24"/>
    <mergeCell ref="A24:B24"/>
    <mergeCell ref="A20:B20"/>
    <mergeCell ref="A21:B21"/>
    <mergeCell ref="A22:B22"/>
    <mergeCell ref="A12:B12"/>
    <mergeCell ref="A10:B10"/>
    <mergeCell ref="A18:B18"/>
    <mergeCell ref="A16:B16"/>
    <mergeCell ref="A19:B19"/>
    <mergeCell ref="A23:B23"/>
    <mergeCell ref="E9:F9"/>
    <mergeCell ref="G1:H1"/>
    <mergeCell ref="G3:H3"/>
    <mergeCell ref="G4:H4"/>
    <mergeCell ref="G5:H5"/>
    <mergeCell ref="G6:H6"/>
    <mergeCell ref="G7:H7"/>
    <mergeCell ref="G8:H8"/>
    <mergeCell ref="G9:H9"/>
    <mergeCell ref="E3:F3"/>
    <mergeCell ref="E4:F4"/>
    <mergeCell ref="E5:F5"/>
    <mergeCell ref="E6:F6"/>
    <mergeCell ref="E7:F7"/>
    <mergeCell ref="E8:F8"/>
    <mergeCell ref="A8:B8"/>
    <mergeCell ref="A9:B9"/>
    <mergeCell ref="A5:B5"/>
    <mergeCell ref="A6:B6"/>
    <mergeCell ref="A7:B7"/>
    <mergeCell ref="A3:B3"/>
    <mergeCell ref="A4:B4"/>
    <mergeCell ref="A1:B1"/>
    <mergeCell ref="C1:D1"/>
    <mergeCell ref="E1:F1"/>
    <mergeCell ref="L1:O1"/>
    <mergeCell ref="A2:B2"/>
    <mergeCell ref="C2:D2"/>
    <mergeCell ref="E2:F2"/>
    <mergeCell ref="G2:H2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2">
    <tabColor rgb="FFFF0000"/>
  </sheetPr>
  <dimension ref="A1:V832"/>
  <sheetViews>
    <sheetView topLeftCell="A7" zoomScale="80" zoomScaleNormal="80" workbookViewId="0">
      <selection activeCell="I27" sqref="I27"/>
    </sheetView>
  </sheetViews>
  <sheetFormatPr defaultRowHeight="15" x14ac:dyDescent="0.25"/>
  <cols>
    <col min="3" max="3" width="10.5703125" bestFit="1" customWidth="1"/>
    <col min="4" max="4" width="17.85546875" bestFit="1" customWidth="1"/>
    <col min="10" max="10" width="10.42578125" customWidth="1"/>
    <col min="11" max="11" width="0.42578125" style="9" customWidth="1"/>
  </cols>
  <sheetData>
    <row r="1" spans="1:22" x14ac:dyDescent="0.25">
      <c r="A1" s="207" t="s">
        <v>27</v>
      </c>
      <c r="B1" s="207"/>
      <c r="C1" s="207"/>
      <c r="D1" s="207"/>
      <c r="E1" s="207"/>
      <c r="F1" s="207"/>
      <c r="G1" s="207"/>
      <c r="H1" s="207"/>
      <c r="I1" s="207"/>
      <c r="J1" s="207"/>
      <c r="L1" s="211" t="s">
        <v>30</v>
      </c>
      <c r="M1" s="211"/>
      <c r="N1" s="211"/>
      <c r="O1" s="211"/>
      <c r="P1" s="211"/>
      <c r="Q1" s="211"/>
      <c r="R1" s="211"/>
      <c r="S1" s="211"/>
      <c r="T1" s="211"/>
      <c r="U1" s="211"/>
      <c r="V1" s="211"/>
    </row>
    <row r="2" spans="1:22" ht="30" customHeight="1" x14ac:dyDescent="0.25">
      <c r="A2" s="210" t="s">
        <v>9</v>
      </c>
      <c r="B2" s="210"/>
      <c r="C2" s="10" t="s">
        <v>31</v>
      </c>
      <c r="D2" s="77" t="s">
        <v>32</v>
      </c>
      <c r="E2" s="208" t="s">
        <v>33</v>
      </c>
      <c r="F2" s="208"/>
      <c r="G2" s="208" t="s">
        <v>34</v>
      </c>
      <c r="H2" s="208"/>
      <c r="I2" s="208" t="s">
        <v>35</v>
      </c>
      <c r="J2" s="208"/>
      <c r="L2" s="212" t="s">
        <v>9</v>
      </c>
      <c r="M2" s="212"/>
      <c r="N2" s="208" t="s">
        <v>42</v>
      </c>
      <c r="O2" s="208"/>
      <c r="P2" s="212" t="s">
        <v>36</v>
      </c>
      <c r="Q2" s="212"/>
      <c r="R2" s="208" t="s">
        <v>40</v>
      </c>
      <c r="S2" s="208"/>
      <c r="T2" s="212" t="s">
        <v>41</v>
      </c>
      <c r="U2" s="212"/>
    </row>
    <row r="3" spans="1:22" x14ac:dyDescent="0.25">
      <c r="A3" s="202" t="s">
        <v>14</v>
      </c>
      <c r="B3" s="202"/>
      <c r="C3" s="1">
        <f>'Carichi unitari  Masse e forze'!G18</f>
        <v>0</v>
      </c>
      <c r="D3" s="24">
        <f>C3</f>
        <v>0</v>
      </c>
      <c r="E3" s="209">
        <f>D3/E15</f>
        <v>0</v>
      </c>
      <c r="F3" s="209"/>
      <c r="G3" s="202">
        <f t="shared" ref="G3:G8" si="0">A16*0.5</f>
        <v>0.25</v>
      </c>
      <c r="H3" s="202"/>
      <c r="I3" s="209">
        <f t="shared" ref="I3:I9" si="1">E3*G3</f>
        <v>0</v>
      </c>
      <c r="J3" s="209"/>
      <c r="L3" s="202" t="s">
        <v>14</v>
      </c>
      <c r="M3" s="202"/>
      <c r="N3" s="24">
        <f>I3/2</f>
        <v>0</v>
      </c>
      <c r="O3" s="28"/>
      <c r="P3" s="202">
        <v>4.7</v>
      </c>
      <c r="Q3" s="202"/>
      <c r="R3" s="24">
        <f>2*(N3/$P$3)</f>
        <v>0</v>
      </c>
      <c r="S3" s="28"/>
      <c r="T3" s="24">
        <f>R3</f>
        <v>0</v>
      </c>
      <c r="U3" s="16"/>
    </row>
    <row r="4" spans="1:22" x14ac:dyDescent="0.25">
      <c r="A4" s="202" t="s">
        <v>47</v>
      </c>
      <c r="B4" s="202"/>
      <c r="C4" s="1">
        <f>'Carichi unitari  Masse e forze'!G19</f>
        <v>662.88955608646222</v>
      </c>
      <c r="D4" s="24">
        <f t="shared" ref="D4:D9" si="2">D3+C4</f>
        <v>662.88955608646222</v>
      </c>
      <c r="E4" s="209">
        <f>D4/C15</f>
        <v>47.349254006175876</v>
      </c>
      <c r="F4" s="209"/>
      <c r="G4" s="202">
        <f t="shared" si="0"/>
        <v>1.65</v>
      </c>
      <c r="H4" s="202"/>
      <c r="I4" s="209">
        <f t="shared" si="1"/>
        <v>78.126269110190194</v>
      </c>
      <c r="J4" s="209"/>
      <c r="L4" s="202" t="s">
        <v>47</v>
      </c>
      <c r="M4" s="202"/>
      <c r="N4" s="24">
        <f t="shared" ref="N4:N9" si="3">(I3+I4)/2</f>
        <v>39.063134555095097</v>
      </c>
      <c r="O4" s="28"/>
      <c r="R4" s="24">
        <f t="shared" ref="R4:R10" si="4">2*(N4/$P$3)</f>
        <v>16.622610448976637</v>
      </c>
      <c r="S4" s="28"/>
      <c r="T4" s="24">
        <f>T3+R4</f>
        <v>16.622610448976637</v>
      </c>
      <c r="U4" s="16"/>
    </row>
    <row r="5" spans="1:22" x14ac:dyDescent="0.25">
      <c r="A5" s="202">
        <v>5</v>
      </c>
      <c r="B5" s="202"/>
      <c r="C5" s="1">
        <f>'Carichi unitari  Masse e forze'!G20</f>
        <v>433.51274903299213</v>
      </c>
      <c r="D5" s="24">
        <f t="shared" si="2"/>
        <v>1096.4023051194545</v>
      </c>
      <c r="E5" s="209">
        <f>D5/C15</f>
        <v>78.314450365675313</v>
      </c>
      <c r="F5" s="209"/>
      <c r="G5" s="202">
        <f t="shared" si="0"/>
        <v>1.65</v>
      </c>
      <c r="H5" s="202"/>
      <c r="I5" s="209">
        <f t="shared" si="1"/>
        <v>129.21884310336426</v>
      </c>
      <c r="J5" s="209"/>
      <c r="L5" s="202">
        <v>5</v>
      </c>
      <c r="M5" s="202"/>
      <c r="N5" s="24">
        <f t="shared" si="3"/>
        <v>103.67255610677722</v>
      </c>
      <c r="O5" s="28"/>
      <c r="R5" s="24">
        <f t="shared" si="4"/>
        <v>44.115981322032859</v>
      </c>
      <c r="S5" s="28"/>
      <c r="T5" s="24">
        <f t="shared" ref="T5:T9" si="5">T4+R5</f>
        <v>60.738591771009496</v>
      </c>
      <c r="U5" s="16"/>
    </row>
    <row r="6" spans="1:22" x14ac:dyDescent="0.25">
      <c r="A6" s="202">
        <v>4</v>
      </c>
      <c r="B6" s="202"/>
      <c r="C6" s="1">
        <f>'Carichi unitari  Masse e forze'!G21</f>
        <v>348.35845904436871</v>
      </c>
      <c r="D6" s="24">
        <f t="shared" si="2"/>
        <v>1444.7607641638233</v>
      </c>
      <c r="E6" s="209">
        <f>D6/C15</f>
        <v>103.19719744027309</v>
      </c>
      <c r="F6" s="209"/>
      <c r="G6" s="202">
        <f t="shared" si="0"/>
        <v>1.65</v>
      </c>
      <c r="H6" s="202"/>
      <c r="I6" s="209">
        <f t="shared" si="1"/>
        <v>170.27537577645057</v>
      </c>
      <c r="J6" s="209"/>
      <c r="L6" s="202">
        <v>4</v>
      </c>
      <c r="M6" s="202"/>
      <c r="N6" s="24">
        <f t="shared" si="3"/>
        <v>149.74710943990743</v>
      </c>
      <c r="O6" s="28"/>
      <c r="R6" s="24">
        <f t="shared" si="4"/>
        <v>63.722174229747843</v>
      </c>
      <c r="S6" s="28"/>
      <c r="T6" s="24">
        <f t="shared" si="5"/>
        <v>124.46076600075733</v>
      </c>
      <c r="U6" s="16"/>
    </row>
    <row r="7" spans="1:22" x14ac:dyDescent="0.25">
      <c r="A7" s="202">
        <v>3</v>
      </c>
      <c r="B7" s="202"/>
      <c r="C7" s="1">
        <f>'Carichi unitari  Masse e forze'!G22</f>
        <v>263.20416905574524</v>
      </c>
      <c r="D7" s="24">
        <f t="shared" si="2"/>
        <v>1707.9649332195686</v>
      </c>
      <c r="E7" s="209">
        <f>D7/C15</f>
        <v>121.99749522996919</v>
      </c>
      <c r="F7" s="209"/>
      <c r="G7" s="202">
        <f t="shared" si="0"/>
        <v>1.65</v>
      </c>
      <c r="H7" s="202"/>
      <c r="I7" s="209">
        <f t="shared" si="1"/>
        <v>201.29586712944916</v>
      </c>
      <c r="J7" s="209"/>
      <c r="L7" s="202">
        <v>3</v>
      </c>
      <c r="M7" s="202"/>
      <c r="N7" s="24">
        <f t="shared" si="3"/>
        <v>185.78562145294987</v>
      </c>
      <c r="O7" s="28"/>
      <c r="R7" s="24">
        <f t="shared" si="4"/>
        <v>79.057711256574407</v>
      </c>
      <c r="S7" s="28"/>
      <c r="T7" s="24">
        <f t="shared" si="5"/>
        <v>203.51847725733174</v>
      </c>
      <c r="U7" s="16"/>
    </row>
    <row r="8" spans="1:22" x14ac:dyDescent="0.25">
      <c r="A8" s="202">
        <v>2</v>
      </c>
      <c r="B8" s="202"/>
      <c r="C8" s="1">
        <f>'Carichi unitari  Masse e forze'!G23</f>
        <v>178.04987906712176</v>
      </c>
      <c r="D8" s="24">
        <f t="shared" si="2"/>
        <v>1886.0148122866904</v>
      </c>
      <c r="E8" s="209">
        <f>D8/C15</f>
        <v>134.71534373476359</v>
      </c>
      <c r="F8" s="209"/>
      <c r="G8" s="202">
        <f t="shared" si="0"/>
        <v>1.65</v>
      </c>
      <c r="H8" s="202"/>
      <c r="I8" s="209">
        <f>E8*G8</f>
        <v>222.28031716235992</v>
      </c>
      <c r="J8" s="209"/>
      <c r="L8" s="202">
        <v>2</v>
      </c>
      <c r="M8" s="202"/>
      <c r="N8" s="24">
        <f t="shared" si="3"/>
        <v>211.78809214590456</v>
      </c>
      <c r="O8" s="28"/>
      <c r="R8" s="24">
        <f t="shared" si="4"/>
        <v>90.122592402512581</v>
      </c>
      <c r="S8" s="28"/>
      <c r="T8" s="24">
        <f t="shared" si="5"/>
        <v>293.64106965984433</v>
      </c>
      <c r="U8" s="16"/>
    </row>
    <row r="9" spans="1:22" x14ac:dyDescent="0.25">
      <c r="A9" s="202" t="s">
        <v>24</v>
      </c>
      <c r="B9" s="202"/>
      <c r="C9" s="1">
        <f>'Carichi unitari  Masse e forze'!G24</f>
        <v>72.810187713310597</v>
      </c>
      <c r="D9" s="24">
        <f t="shared" si="2"/>
        <v>1958.825000000001</v>
      </c>
      <c r="E9" s="209">
        <f>D9/C15</f>
        <v>139.91607142857148</v>
      </c>
      <c r="F9" s="209"/>
      <c r="G9" s="202">
        <f>A22*0.4</f>
        <v>1.4400000000000002</v>
      </c>
      <c r="H9" s="202"/>
      <c r="I9" s="209">
        <f t="shared" si="1"/>
        <v>201.47914285714296</v>
      </c>
      <c r="J9" s="209"/>
      <c r="L9" s="202" t="s">
        <v>24</v>
      </c>
      <c r="M9" s="202"/>
      <c r="N9" s="24">
        <f t="shared" si="3"/>
        <v>211.87973000975143</v>
      </c>
      <c r="O9" s="28"/>
      <c r="R9" s="24">
        <f t="shared" si="4"/>
        <v>90.161587238192098</v>
      </c>
      <c r="S9" s="28"/>
      <c r="T9" s="24">
        <f t="shared" si="5"/>
        <v>383.80265689803645</v>
      </c>
      <c r="U9" s="16"/>
    </row>
    <row r="10" spans="1:22" x14ac:dyDescent="0.25">
      <c r="A10" s="202" t="s">
        <v>25</v>
      </c>
      <c r="B10" s="202"/>
      <c r="C10" s="1">
        <f>'Carichi unitari  Masse e forze'!G24</f>
        <v>72.810187713310597</v>
      </c>
      <c r="D10" s="24">
        <f>D8+C10</f>
        <v>1958.825000000001</v>
      </c>
      <c r="E10" s="209">
        <f>D10/C15</f>
        <v>139.91607142857148</v>
      </c>
      <c r="F10" s="209"/>
      <c r="G10" s="202">
        <f>A22*0.6</f>
        <v>2.16</v>
      </c>
      <c r="H10" s="202"/>
      <c r="I10" s="209">
        <f>E10*G10</f>
        <v>302.21871428571444</v>
      </c>
      <c r="J10" s="209"/>
      <c r="L10" s="202" t="s">
        <v>25</v>
      </c>
      <c r="M10" s="202"/>
      <c r="N10" s="24">
        <f>(I8+I10)/2</f>
        <v>262.24951572403717</v>
      </c>
      <c r="O10" s="28"/>
      <c r="R10" s="24">
        <f t="shared" si="4"/>
        <v>111.59553860597326</v>
      </c>
      <c r="S10" s="28"/>
      <c r="T10" s="24">
        <f>T9+R10</f>
        <v>495.39819550400972</v>
      </c>
      <c r="U10" s="16"/>
    </row>
    <row r="11" spans="1:22" x14ac:dyDescent="0.25">
      <c r="A11" s="2"/>
      <c r="B11" s="2"/>
      <c r="K11" s="12"/>
    </row>
    <row r="12" spans="1:22" x14ac:dyDescent="0.25">
      <c r="A12" s="7"/>
      <c r="B12" s="7"/>
      <c r="C12" s="7"/>
      <c r="D12" s="2"/>
      <c r="K12" s="12"/>
    </row>
    <row r="13" spans="1:22" ht="15.75" thickBot="1" x14ac:dyDescent="0.3">
      <c r="A13" s="7"/>
      <c r="B13" s="7"/>
      <c r="C13" s="7"/>
      <c r="D13" s="2"/>
      <c r="K13" s="12"/>
    </row>
    <row r="14" spans="1:22" ht="18.75" x14ac:dyDescent="0.3">
      <c r="A14" s="201" t="s">
        <v>11</v>
      </c>
      <c r="B14" s="201"/>
      <c r="C14" s="202" t="s">
        <v>10</v>
      </c>
      <c r="D14" s="202"/>
      <c r="E14" s="202" t="s">
        <v>29</v>
      </c>
      <c r="F14" s="202"/>
      <c r="G14" s="202"/>
      <c r="K14" s="12"/>
      <c r="L14" s="215" t="s">
        <v>43</v>
      </c>
      <c r="M14" s="216"/>
      <c r="N14" s="216"/>
      <c r="O14" s="216"/>
      <c r="P14" s="216"/>
      <c r="Q14" s="216"/>
      <c r="R14" s="216"/>
      <c r="S14" s="216"/>
      <c r="T14" s="216"/>
      <c r="U14" s="217"/>
    </row>
    <row r="15" spans="1:22" ht="15" customHeight="1" x14ac:dyDescent="0.25">
      <c r="A15" s="202" t="s">
        <v>20</v>
      </c>
      <c r="B15" s="202"/>
      <c r="C15" s="202">
        <v>14</v>
      </c>
      <c r="D15" s="202"/>
      <c r="E15" s="202">
        <v>4</v>
      </c>
      <c r="F15" s="202"/>
      <c r="G15" s="202"/>
      <c r="K15" s="12"/>
      <c r="L15" s="218" t="s">
        <v>154</v>
      </c>
      <c r="M15" s="219"/>
      <c r="N15" s="220" t="s">
        <v>45</v>
      </c>
      <c r="O15" s="220"/>
      <c r="P15" s="220"/>
      <c r="Q15" s="220"/>
      <c r="R15" s="220"/>
      <c r="S15" s="220"/>
      <c r="T15" s="220" t="s">
        <v>46</v>
      </c>
      <c r="U15" s="221"/>
    </row>
    <row r="16" spans="1:22" x14ac:dyDescent="0.25">
      <c r="A16" s="202">
        <v>0.5</v>
      </c>
      <c r="B16" s="202"/>
      <c r="K16" s="12"/>
      <c r="L16" s="218"/>
      <c r="M16" s="219"/>
      <c r="N16" s="219" t="s">
        <v>33</v>
      </c>
      <c r="O16" s="219"/>
      <c r="P16" s="219" t="s">
        <v>44</v>
      </c>
      <c r="Q16" s="219"/>
      <c r="R16" s="219" t="s">
        <v>42</v>
      </c>
      <c r="S16" s="219"/>
      <c r="T16" s="219" t="s">
        <v>44</v>
      </c>
      <c r="U16" s="222"/>
    </row>
    <row r="17" spans="1:21" x14ac:dyDescent="0.25">
      <c r="A17" s="202">
        <v>3.3</v>
      </c>
      <c r="B17" s="202"/>
      <c r="K17" s="12"/>
      <c r="L17" s="218"/>
      <c r="M17" s="219"/>
      <c r="N17" s="219"/>
      <c r="O17" s="219"/>
      <c r="P17" s="219"/>
      <c r="Q17" s="219"/>
      <c r="R17" s="219"/>
      <c r="S17" s="219"/>
      <c r="T17" s="219"/>
      <c r="U17" s="222"/>
    </row>
    <row r="18" spans="1:21" x14ac:dyDescent="0.25">
      <c r="A18" s="202">
        <v>3.3</v>
      </c>
      <c r="B18" s="202"/>
      <c r="K18" s="12"/>
      <c r="L18" s="213">
        <f>20/100</f>
        <v>0.2</v>
      </c>
      <c r="M18" s="214"/>
      <c r="U18" s="29"/>
    </row>
    <row r="19" spans="1:21" x14ac:dyDescent="0.25">
      <c r="A19" s="202">
        <v>3.3</v>
      </c>
      <c r="B19" s="202"/>
      <c r="K19" s="12"/>
      <c r="L19" s="14"/>
      <c r="N19" s="26"/>
      <c r="O19" s="26"/>
      <c r="P19" s="26"/>
      <c r="Q19" s="26"/>
      <c r="R19" s="26"/>
      <c r="S19" s="26"/>
      <c r="T19" s="26"/>
      <c r="U19" s="90"/>
    </row>
    <row r="20" spans="1:21" x14ac:dyDescent="0.25">
      <c r="A20" s="202">
        <v>3.3</v>
      </c>
      <c r="B20" s="202"/>
      <c r="K20" s="12"/>
      <c r="L20" s="213" t="s">
        <v>47</v>
      </c>
      <c r="M20" s="214"/>
      <c r="N20" s="26">
        <f t="shared" ref="N20:N26" si="6">($L$18*E4)+E4</f>
        <v>56.819104807411051</v>
      </c>
      <c r="O20" s="26"/>
      <c r="P20" s="26">
        <f t="shared" ref="P20:P26" si="7">($L$18*I4)+I4</f>
        <v>93.751522932228227</v>
      </c>
      <c r="Q20" s="26"/>
      <c r="R20" s="26">
        <f t="shared" ref="R20:R25" si="8">($L$18*N4)+N4</f>
        <v>46.875761466114113</v>
      </c>
      <c r="S20" s="26"/>
      <c r="T20" s="26">
        <f t="shared" ref="T20:T24" si="9">1.5*(P20)</f>
        <v>140.62728439834234</v>
      </c>
      <c r="U20" s="29"/>
    </row>
    <row r="21" spans="1:21" x14ac:dyDescent="0.25">
      <c r="A21" s="202">
        <v>3.3</v>
      </c>
      <c r="B21" s="202"/>
      <c r="K21" s="12"/>
      <c r="L21" s="213">
        <v>5</v>
      </c>
      <c r="M21" s="214"/>
      <c r="N21" s="26">
        <f t="shared" si="6"/>
        <v>93.977340438810373</v>
      </c>
      <c r="O21" s="26"/>
      <c r="P21" s="26">
        <f t="shared" si="7"/>
        <v>155.06261172403711</v>
      </c>
      <c r="Q21" s="26"/>
      <c r="R21" s="26">
        <f t="shared" si="8"/>
        <v>124.40706732813267</v>
      </c>
      <c r="S21" s="26"/>
      <c r="T21" s="26">
        <f t="shared" si="9"/>
        <v>232.59391758605568</v>
      </c>
      <c r="U21" s="29"/>
    </row>
    <row r="22" spans="1:21" x14ac:dyDescent="0.25">
      <c r="A22" s="202">
        <v>3.6</v>
      </c>
      <c r="B22" s="202"/>
      <c r="K22" s="12"/>
      <c r="L22" s="213">
        <v>4</v>
      </c>
      <c r="M22" s="214"/>
      <c r="N22" s="26">
        <f t="shared" si="6"/>
        <v>123.83663692832771</v>
      </c>
      <c r="O22" s="26"/>
      <c r="P22" s="26">
        <f t="shared" si="7"/>
        <v>204.3304509317407</v>
      </c>
      <c r="Q22" s="26"/>
      <c r="R22" s="26">
        <f t="shared" si="8"/>
        <v>179.69653132788892</v>
      </c>
      <c r="S22" s="26"/>
      <c r="T22" s="26">
        <f t="shared" si="9"/>
        <v>306.49567639761108</v>
      </c>
      <c r="U22" s="29"/>
    </row>
    <row r="23" spans="1:21" x14ac:dyDescent="0.25">
      <c r="K23" s="12"/>
      <c r="L23" s="213">
        <v>3</v>
      </c>
      <c r="M23" s="214"/>
      <c r="N23" s="26">
        <f t="shared" si="6"/>
        <v>146.39699427596304</v>
      </c>
      <c r="O23" s="26"/>
      <c r="P23" s="26">
        <f t="shared" si="7"/>
        <v>241.55504055533899</v>
      </c>
      <c r="Q23" s="26"/>
      <c r="R23" s="26">
        <f t="shared" si="8"/>
        <v>222.94274574353983</v>
      </c>
      <c r="S23" s="26"/>
      <c r="T23" s="26">
        <f t="shared" si="9"/>
        <v>362.33256083300847</v>
      </c>
      <c r="U23" s="29"/>
    </row>
    <row r="24" spans="1:21" x14ac:dyDescent="0.25">
      <c r="K24" s="12"/>
      <c r="L24" s="213">
        <v>2</v>
      </c>
      <c r="M24" s="214"/>
      <c r="N24" s="26">
        <f t="shared" si="6"/>
        <v>161.65841248171631</v>
      </c>
      <c r="O24" s="26"/>
      <c r="P24" s="26">
        <f t="shared" si="7"/>
        <v>266.73638059483193</v>
      </c>
      <c r="Q24" s="26"/>
      <c r="R24" s="26">
        <f t="shared" si="8"/>
        <v>254.14571057508547</v>
      </c>
      <c r="S24" s="26"/>
      <c r="T24" s="26">
        <f t="shared" si="9"/>
        <v>400.10457089224792</v>
      </c>
      <c r="U24" s="29"/>
    </row>
    <row r="25" spans="1:21" ht="15" customHeight="1" x14ac:dyDescent="0.25">
      <c r="K25" s="12"/>
      <c r="L25" s="213" t="s">
        <v>24</v>
      </c>
      <c r="M25" s="214"/>
      <c r="N25" s="26">
        <f t="shared" si="6"/>
        <v>167.89928571428578</v>
      </c>
      <c r="O25" s="26"/>
      <c r="P25" s="26">
        <f t="shared" si="7"/>
        <v>241.77497142857155</v>
      </c>
      <c r="Q25" s="26"/>
      <c r="R25" s="26">
        <f t="shared" si="8"/>
        <v>254.25567601170172</v>
      </c>
      <c r="S25" s="26"/>
      <c r="T25" s="26">
        <f>1.5*(P25)</f>
        <v>362.66245714285731</v>
      </c>
      <c r="U25" s="29"/>
    </row>
    <row r="26" spans="1:21" ht="15" customHeight="1" thickBot="1" x14ac:dyDescent="0.3">
      <c r="K26" s="12"/>
      <c r="L26" s="223" t="s">
        <v>25</v>
      </c>
      <c r="M26" s="224"/>
      <c r="N26" s="30">
        <f t="shared" si="6"/>
        <v>167.89928571428578</v>
      </c>
      <c r="O26" s="30"/>
      <c r="P26" s="30">
        <f t="shared" si="7"/>
        <v>362.66245714285731</v>
      </c>
      <c r="Q26" s="30"/>
      <c r="R26" s="30"/>
      <c r="S26" s="30"/>
      <c r="T26" s="30">
        <f>P26</f>
        <v>362.66245714285731</v>
      </c>
      <c r="U26" s="31"/>
    </row>
    <row r="27" spans="1:21" x14ac:dyDescent="0.25">
      <c r="K27" s="12"/>
    </row>
    <row r="28" spans="1:21" x14ac:dyDescent="0.25">
      <c r="K28" s="12"/>
    </row>
    <row r="29" spans="1:21" x14ac:dyDescent="0.25">
      <c r="K29" s="12"/>
    </row>
    <row r="30" spans="1:21" x14ac:dyDescent="0.25">
      <c r="K30" s="12"/>
    </row>
    <row r="31" spans="1:21" x14ac:dyDescent="0.25">
      <c r="K31" s="12"/>
    </row>
    <row r="32" spans="1:21" x14ac:dyDescent="0.25">
      <c r="K32" s="12"/>
    </row>
    <row r="33" spans="11:11" x14ac:dyDescent="0.25">
      <c r="K33" s="12"/>
    </row>
    <row r="34" spans="11:11" x14ac:dyDescent="0.25">
      <c r="K34" s="12"/>
    </row>
    <row r="35" spans="11:11" x14ac:dyDescent="0.25">
      <c r="K35" s="12"/>
    </row>
    <row r="36" spans="11:11" x14ac:dyDescent="0.25">
      <c r="K36" s="12"/>
    </row>
    <row r="37" spans="11:11" x14ac:dyDescent="0.25">
      <c r="K37" s="12"/>
    </row>
    <row r="38" spans="11:11" x14ac:dyDescent="0.25">
      <c r="K38" s="12"/>
    </row>
    <row r="39" spans="11:11" x14ac:dyDescent="0.25">
      <c r="K39" s="12"/>
    </row>
    <row r="40" spans="11:11" x14ac:dyDescent="0.25">
      <c r="K40" s="12"/>
    </row>
    <row r="41" spans="11:11" x14ac:dyDescent="0.25">
      <c r="K41" s="12"/>
    </row>
    <row r="42" spans="11:11" x14ac:dyDescent="0.25">
      <c r="K42" s="12"/>
    </row>
    <row r="43" spans="11:11" x14ac:dyDescent="0.25">
      <c r="K43" s="12"/>
    </row>
    <row r="44" spans="11:11" x14ac:dyDescent="0.25">
      <c r="K44" s="12"/>
    </row>
    <row r="45" spans="11:11" x14ac:dyDescent="0.25">
      <c r="K45" s="12"/>
    </row>
    <row r="46" spans="11:11" x14ac:dyDescent="0.25">
      <c r="K46" s="12"/>
    </row>
    <row r="47" spans="11:11" x14ac:dyDescent="0.25">
      <c r="K47" s="12"/>
    </row>
    <row r="48" spans="11:11" x14ac:dyDescent="0.25">
      <c r="K48" s="12"/>
    </row>
    <row r="49" spans="11:11" x14ac:dyDescent="0.25">
      <c r="K49" s="12"/>
    </row>
    <row r="50" spans="11:11" x14ac:dyDescent="0.25">
      <c r="K50" s="12"/>
    </row>
    <row r="51" spans="11:11" x14ac:dyDescent="0.25">
      <c r="K51" s="12"/>
    </row>
    <row r="52" spans="11:11" x14ac:dyDescent="0.25">
      <c r="K52" s="12"/>
    </row>
    <row r="53" spans="11:11" x14ac:dyDescent="0.25">
      <c r="K53" s="12"/>
    </row>
    <row r="54" spans="11:11" x14ac:dyDescent="0.25">
      <c r="K54" s="12"/>
    </row>
    <row r="55" spans="11:11" x14ac:dyDescent="0.25">
      <c r="K55" s="12"/>
    </row>
    <row r="56" spans="11:11" x14ac:dyDescent="0.25">
      <c r="K56" s="12"/>
    </row>
    <row r="57" spans="11:11" x14ac:dyDescent="0.25">
      <c r="K57" s="12"/>
    </row>
    <row r="58" spans="11:11" x14ac:dyDescent="0.25">
      <c r="K58" s="12"/>
    </row>
    <row r="59" spans="11:11" x14ac:dyDescent="0.25">
      <c r="K59" s="12"/>
    </row>
    <row r="60" spans="11:11" x14ac:dyDescent="0.25">
      <c r="K60" s="12"/>
    </row>
    <row r="61" spans="11:11" x14ac:dyDescent="0.25">
      <c r="K61" s="12"/>
    </row>
    <row r="62" spans="11:11" x14ac:dyDescent="0.25">
      <c r="K62" s="12"/>
    </row>
    <row r="63" spans="11:11" x14ac:dyDescent="0.25">
      <c r="K63" s="12"/>
    </row>
    <row r="64" spans="11:11" x14ac:dyDescent="0.25">
      <c r="K64" s="12"/>
    </row>
    <row r="65" spans="11:11" x14ac:dyDescent="0.25">
      <c r="K65" s="12"/>
    </row>
    <row r="66" spans="11:11" x14ac:dyDescent="0.25">
      <c r="K66" s="12"/>
    </row>
    <row r="67" spans="11:11" x14ac:dyDescent="0.25">
      <c r="K67" s="12"/>
    </row>
    <row r="68" spans="11:11" x14ac:dyDescent="0.25">
      <c r="K68" s="12"/>
    </row>
    <row r="69" spans="11:11" x14ac:dyDescent="0.25">
      <c r="K69" s="12"/>
    </row>
    <row r="70" spans="11:11" x14ac:dyDescent="0.25">
      <c r="K70" s="12"/>
    </row>
    <row r="71" spans="11:11" x14ac:dyDescent="0.25">
      <c r="K71" s="12"/>
    </row>
    <row r="72" spans="11:11" x14ac:dyDescent="0.25">
      <c r="K72" s="12"/>
    </row>
    <row r="73" spans="11:11" x14ac:dyDescent="0.25">
      <c r="K73" s="12"/>
    </row>
    <row r="74" spans="11:11" x14ac:dyDescent="0.25">
      <c r="K74" s="12"/>
    </row>
    <row r="75" spans="11:11" x14ac:dyDescent="0.25">
      <c r="K75" s="12"/>
    </row>
    <row r="76" spans="11:11" x14ac:dyDescent="0.25">
      <c r="K76" s="12"/>
    </row>
    <row r="77" spans="11:11" x14ac:dyDescent="0.25">
      <c r="K77" s="12"/>
    </row>
    <row r="78" spans="11:11" x14ac:dyDescent="0.25">
      <c r="K78" s="12"/>
    </row>
    <row r="79" spans="11:11" x14ac:dyDescent="0.25">
      <c r="K79" s="12"/>
    </row>
    <row r="80" spans="11:11" x14ac:dyDescent="0.25">
      <c r="K80" s="12"/>
    </row>
    <row r="81" spans="11:11" x14ac:dyDescent="0.25">
      <c r="K81" s="12"/>
    </row>
    <row r="82" spans="11:11" x14ac:dyDescent="0.25">
      <c r="K82" s="12"/>
    </row>
    <row r="83" spans="11:11" x14ac:dyDescent="0.25">
      <c r="K83" s="12"/>
    </row>
    <row r="84" spans="11:11" x14ac:dyDescent="0.25">
      <c r="K84" s="12"/>
    </row>
    <row r="85" spans="11:11" x14ac:dyDescent="0.25">
      <c r="K85" s="12"/>
    </row>
    <row r="86" spans="11:11" x14ac:dyDescent="0.25">
      <c r="K86" s="12"/>
    </row>
    <row r="87" spans="11:11" x14ac:dyDescent="0.25">
      <c r="K87" s="12"/>
    </row>
    <row r="88" spans="11:11" x14ac:dyDescent="0.25">
      <c r="K88" s="12"/>
    </row>
    <row r="89" spans="11:11" x14ac:dyDescent="0.25">
      <c r="K89" s="12"/>
    </row>
    <row r="90" spans="11:11" x14ac:dyDescent="0.25">
      <c r="K90" s="12"/>
    </row>
    <row r="91" spans="11:11" x14ac:dyDescent="0.25">
      <c r="K91" s="12"/>
    </row>
    <row r="92" spans="11:11" x14ac:dyDescent="0.25">
      <c r="K92" s="12"/>
    </row>
    <row r="93" spans="11:11" x14ac:dyDescent="0.25">
      <c r="K93" s="12"/>
    </row>
    <row r="94" spans="11:11" x14ac:dyDescent="0.25">
      <c r="K94" s="12"/>
    </row>
    <row r="95" spans="11:11" x14ac:dyDescent="0.25">
      <c r="K95" s="12"/>
    </row>
    <row r="96" spans="11:11" x14ac:dyDescent="0.25">
      <c r="K96" s="12"/>
    </row>
    <row r="97" spans="11:11" x14ac:dyDescent="0.25">
      <c r="K97" s="12"/>
    </row>
    <row r="98" spans="11:11" x14ac:dyDescent="0.25">
      <c r="K98" s="12"/>
    </row>
    <row r="99" spans="11:11" x14ac:dyDescent="0.25">
      <c r="K99" s="12"/>
    </row>
    <row r="100" spans="11:11" x14ac:dyDescent="0.25">
      <c r="K100" s="12"/>
    </row>
    <row r="101" spans="11:11" x14ac:dyDescent="0.25">
      <c r="K101" s="12"/>
    </row>
    <row r="102" spans="11:11" x14ac:dyDescent="0.25">
      <c r="K102" s="12"/>
    </row>
    <row r="103" spans="11:11" x14ac:dyDescent="0.25">
      <c r="K103" s="12"/>
    </row>
    <row r="104" spans="11:11" x14ac:dyDescent="0.25">
      <c r="K104" s="12"/>
    </row>
    <row r="105" spans="11:11" x14ac:dyDescent="0.25">
      <c r="K105" s="12"/>
    </row>
    <row r="106" spans="11:11" x14ac:dyDescent="0.25">
      <c r="K106" s="12"/>
    </row>
    <row r="107" spans="11:11" x14ac:dyDescent="0.25">
      <c r="K107" s="12"/>
    </row>
    <row r="108" spans="11:11" x14ac:dyDescent="0.25">
      <c r="K108" s="12"/>
    </row>
    <row r="109" spans="11:11" x14ac:dyDescent="0.25">
      <c r="K109" s="12"/>
    </row>
    <row r="110" spans="11:11" x14ac:dyDescent="0.25">
      <c r="K110" s="12"/>
    </row>
    <row r="111" spans="11:11" x14ac:dyDescent="0.25">
      <c r="K111" s="12"/>
    </row>
    <row r="112" spans="11:11" x14ac:dyDescent="0.25">
      <c r="K112" s="12"/>
    </row>
    <row r="113" spans="11:11" x14ac:dyDescent="0.25">
      <c r="K113" s="12"/>
    </row>
    <row r="114" spans="11:11" x14ac:dyDescent="0.25">
      <c r="K114" s="12"/>
    </row>
    <row r="115" spans="11:11" x14ac:dyDescent="0.25">
      <c r="K115" s="12"/>
    </row>
    <row r="116" spans="11:11" x14ac:dyDescent="0.25">
      <c r="K116" s="12"/>
    </row>
    <row r="117" spans="11:11" x14ac:dyDescent="0.25">
      <c r="K117" s="12"/>
    </row>
    <row r="118" spans="11:11" x14ac:dyDescent="0.25">
      <c r="K118" s="12"/>
    </row>
    <row r="119" spans="11:11" x14ac:dyDescent="0.25">
      <c r="K119" s="12"/>
    </row>
    <row r="120" spans="11:11" x14ac:dyDescent="0.25">
      <c r="K120" s="12"/>
    </row>
    <row r="121" spans="11:11" x14ac:dyDescent="0.25">
      <c r="K121" s="12"/>
    </row>
    <row r="122" spans="11:11" x14ac:dyDescent="0.25">
      <c r="K122" s="12"/>
    </row>
    <row r="123" spans="11:11" x14ac:dyDescent="0.25">
      <c r="K123" s="12"/>
    </row>
    <row r="124" spans="11:11" x14ac:dyDescent="0.25">
      <c r="K124" s="12"/>
    </row>
    <row r="125" spans="11:11" x14ac:dyDescent="0.25">
      <c r="K125" s="12"/>
    </row>
    <row r="126" spans="11:11" x14ac:dyDescent="0.25">
      <c r="K126" s="12"/>
    </row>
    <row r="127" spans="11:11" x14ac:dyDescent="0.25">
      <c r="K127" s="12"/>
    </row>
    <row r="128" spans="11:11" x14ac:dyDescent="0.25">
      <c r="K128" s="12"/>
    </row>
    <row r="129" spans="11:11" x14ac:dyDescent="0.25">
      <c r="K129" s="12"/>
    </row>
    <row r="130" spans="11:11" x14ac:dyDescent="0.25">
      <c r="K130" s="12"/>
    </row>
    <row r="131" spans="11:11" x14ac:dyDescent="0.25">
      <c r="K131" s="12"/>
    </row>
    <row r="132" spans="11:11" x14ac:dyDescent="0.25">
      <c r="K132" s="12"/>
    </row>
    <row r="133" spans="11:11" x14ac:dyDescent="0.25">
      <c r="K133" s="12"/>
    </row>
    <row r="134" spans="11:11" x14ac:dyDescent="0.25">
      <c r="K134" s="12"/>
    </row>
    <row r="135" spans="11:11" x14ac:dyDescent="0.25">
      <c r="K135" s="12"/>
    </row>
    <row r="136" spans="11:11" x14ac:dyDescent="0.25">
      <c r="K136" s="12"/>
    </row>
    <row r="137" spans="11:11" x14ac:dyDescent="0.25">
      <c r="K137" s="12"/>
    </row>
    <row r="138" spans="11:11" x14ac:dyDescent="0.25">
      <c r="K138" s="12"/>
    </row>
    <row r="139" spans="11:11" x14ac:dyDescent="0.25">
      <c r="K139" s="12"/>
    </row>
    <row r="140" spans="11:11" x14ac:dyDescent="0.25">
      <c r="K140" s="12"/>
    </row>
    <row r="141" spans="11:11" x14ac:dyDescent="0.25">
      <c r="K141" s="12"/>
    </row>
    <row r="142" spans="11:11" x14ac:dyDescent="0.25">
      <c r="K142" s="12"/>
    </row>
    <row r="143" spans="11:11" x14ac:dyDescent="0.25">
      <c r="K143" s="12"/>
    </row>
    <row r="144" spans="11:11" x14ac:dyDescent="0.25">
      <c r="K144" s="12"/>
    </row>
    <row r="145" spans="11:11" x14ac:dyDescent="0.25">
      <c r="K145" s="12"/>
    </row>
    <row r="146" spans="11:11" x14ac:dyDescent="0.25">
      <c r="K146" s="12"/>
    </row>
    <row r="147" spans="11:11" x14ac:dyDescent="0.25">
      <c r="K147" s="12"/>
    </row>
    <row r="148" spans="11:11" x14ac:dyDescent="0.25">
      <c r="K148" s="12"/>
    </row>
    <row r="149" spans="11:11" x14ac:dyDescent="0.25">
      <c r="K149" s="12"/>
    </row>
    <row r="150" spans="11:11" x14ac:dyDescent="0.25">
      <c r="K150" s="12"/>
    </row>
    <row r="151" spans="11:11" x14ac:dyDescent="0.25">
      <c r="K151" s="12"/>
    </row>
    <row r="152" spans="11:11" x14ac:dyDescent="0.25">
      <c r="K152" s="12"/>
    </row>
    <row r="153" spans="11:11" x14ac:dyDescent="0.25">
      <c r="K153" s="12"/>
    </row>
    <row r="154" spans="11:11" x14ac:dyDescent="0.25">
      <c r="K154" s="12"/>
    </row>
    <row r="155" spans="11:11" x14ac:dyDescent="0.25">
      <c r="K155" s="12"/>
    </row>
    <row r="156" spans="11:11" x14ac:dyDescent="0.25">
      <c r="K156" s="12"/>
    </row>
    <row r="157" spans="11:11" x14ac:dyDescent="0.25">
      <c r="K157" s="12"/>
    </row>
    <row r="158" spans="11:11" x14ac:dyDescent="0.25">
      <c r="K158" s="12"/>
    </row>
    <row r="159" spans="11:11" x14ac:dyDescent="0.25">
      <c r="K159" s="12"/>
    </row>
    <row r="160" spans="11:11" x14ac:dyDescent="0.25">
      <c r="K160" s="12"/>
    </row>
    <row r="161" spans="11:11" x14ac:dyDescent="0.25">
      <c r="K161" s="12"/>
    </row>
    <row r="162" spans="11:11" x14ac:dyDescent="0.25">
      <c r="K162" s="12"/>
    </row>
    <row r="163" spans="11:11" x14ac:dyDescent="0.25">
      <c r="K163" s="12"/>
    </row>
    <row r="164" spans="11:11" x14ac:dyDescent="0.25">
      <c r="K164" s="12"/>
    </row>
    <row r="165" spans="11:11" x14ac:dyDescent="0.25">
      <c r="K165" s="12"/>
    </row>
    <row r="166" spans="11:11" x14ac:dyDescent="0.25">
      <c r="K166" s="12"/>
    </row>
    <row r="167" spans="11:11" x14ac:dyDescent="0.25">
      <c r="K167" s="12"/>
    </row>
    <row r="168" spans="11:11" x14ac:dyDescent="0.25">
      <c r="K168" s="12"/>
    </row>
    <row r="169" spans="11:11" x14ac:dyDescent="0.25">
      <c r="K169" s="12"/>
    </row>
    <row r="170" spans="11:11" x14ac:dyDescent="0.25">
      <c r="K170" s="12"/>
    </row>
    <row r="171" spans="11:11" x14ac:dyDescent="0.25">
      <c r="K171" s="12"/>
    </row>
    <row r="172" spans="11:11" x14ac:dyDescent="0.25">
      <c r="K172" s="12"/>
    </row>
    <row r="173" spans="11:11" x14ac:dyDescent="0.25">
      <c r="K173" s="12"/>
    </row>
    <row r="174" spans="11:11" x14ac:dyDescent="0.25">
      <c r="K174" s="12"/>
    </row>
    <row r="175" spans="11:11" x14ac:dyDescent="0.25">
      <c r="K175" s="12"/>
    </row>
    <row r="176" spans="11:11" x14ac:dyDescent="0.25">
      <c r="K176" s="12"/>
    </row>
    <row r="177" spans="11:11" x14ac:dyDescent="0.25">
      <c r="K177" s="12"/>
    </row>
    <row r="178" spans="11:11" x14ac:dyDescent="0.25">
      <c r="K178" s="12"/>
    </row>
    <row r="179" spans="11:11" x14ac:dyDescent="0.25">
      <c r="K179" s="12"/>
    </row>
    <row r="180" spans="11:11" x14ac:dyDescent="0.25">
      <c r="K180" s="12"/>
    </row>
    <row r="181" spans="11:11" x14ac:dyDescent="0.25">
      <c r="K181" s="12"/>
    </row>
    <row r="182" spans="11:11" x14ac:dyDescent="0.25">
      <c r="K182" s="12"/>
    </row>
    <row r="183" spans="11:11" x14ac:dyDescent="0.25">
      <c r="K183" s="12"/>
    </row>
    <row r="184" spans="11:11" x14ac:dyDescent="0.25">
      <c r="K184" s="12"/>
    </row>
    <row r="185" spans="11:11" x14ac:dyDescent="0.25">
      <c r="K185" s="12"/>
    </row>
    <row r="186" spans="11:11" x14ac:dyDescent="0.25">
      <c r="K186" s="12"/>
    </row>
    <row r="187" spans="11:11" x14ac:dyDescent="0.25">
      <c r="K187" s="12"/>
    </row>
    <row r="188" spans="11:11" x14ac:dyDescent="0.25">
      <c r="K188" s="12"/>
    </row>
    <row r="189" spans="11:11" x14ac:dyDescent="0.25">
      <c r="K189" s="12"/>
    </row>
    <row r="190" spans="11:11" x14ac:dyDescent="0.25">
      <c r="K190" s="12"/>
    </row>
    <row r="191" spans="11:11" x14ac:dyDescent="0.25">
      <c r="K191" s="12"/>
    </row>
    <row r="192" spans="11:11" x14ac:dyDescent="0.25">
      <c r="K192" s="12"/>
    </row>
    <row r="193" spans="11:11" x14ac:dyDescent="0.25">
      <c r="K193" s="12"/>
    </row>
    <row r="194" spans="11:11" x14ac:dyDescent="0.25">
      <c r="K194" s="12"/>
    </row>
    <row r="195" spans="11:11" x14ac:dyDescent="0.25">
      <c r="K195" s="12"/>
    </row>
    <row r="196" spans="11:11" x14ac:dyDescent="0.25">
      <c r="K196" s="12"/>
    </row>
    <row r="197" spans="11:11" x14ac:dyDescent="0.25">
      <c r="K197" s="12"/>
    </row>
    <row r="198" spans="11:11" x14ac:dyDescent="0.25">
      <c r="K198" s="12"/>
    </row>
    <row r="199" spans="11:11" x14ac:dyDescent="0.25">
      <c r="K199" s="12"/>
    </row>
    <row r="200" spans="11:11" x14ac:dyDescent="0.25">
      <c r="K200" s="12"/>
    </row>
    <row r="201" spans="11:11" x14ac:dyDescent="0.25">
      <c r="K201" s="12"/>
    </row>
    <row r="202" spans="11:11" x14ac:dyDescent="0.25">
      <c r="K202" s="12"/>
    </row>
    <row r="203" spans="11:11" x14ac:dyDescent="0.25">
      <c r="K203" s="12"/>
    </row>
    <row r="204" spans="11:11" x14ac:dyDescent="0.25">
      <c r="K204" s="12"/>
    </row>
    <row r="205" spans="11:11" x14ac:dyDescent="0.25">
      <c r="K205" s="12"/>
    </row>
    <row r="206" spans="11:11" x14ac:dyDescent="0.25">
      <c r="K206" s="12"/>
    </row>
    <row r="207" spans="11:11" x14ac:dyDescent="0.25">
      <c r="K207" s="12"/>
    </row>
    <row r="208" spans="11:11" x14ac:dyDescent="0.25">
      <c r="K208" s="12"/>
    </row>
    <row r="209" spans="11:11" x14ac:dyDescent="0.25">
      <c r="K209" s="12"/>
    </row>
    <row r="210" spans="11:11" x14ac:dyDescent="0.25">
      <c r="K210" s="12"/>
    </row>
    <row r="211" spans="11:11" x14ac:dyDescent="0.25">
      <c r="K211" s="12"/>
    </row>
    <row r="212" spans="11:11" x14ac:dyDescent="0.25">
      <c r="K212" s="12"/>
    </row>
    <row r="213" spans="11:11" x14ac:dyDescent="0.25">
      <c r="K213" s="12"/>
    </row>
    <row r="214" spans="11:11" x14ac:dyDescent="0.25">
      <c r="K214" s="12"/>
    </row>
    <row r="215" spans="11:11" x14ac:dyDescent="0.25">
      <c r="K215" s="12"/>
    </row>
    <row r="216" spans="11:11" x14ac:dyDescent="0.25">
      <c r="K216" s="12"/>
    </row>
    <row r="217" spans="11:11" x14ac:dyDescent="0.25">
      <c r="K217" s="12"/>
    </row>
    <row r="218" spans="11:11" x14ac:dyDescent="0.25">
      <c r="K218" s="12"/>
    </row>
    <row r="219" spans="11:11" x14ac:dyDescent="0.25">
      <c r="K219" s="12"/>
    </row>
    <row r="220" spans="11:11" x14ac:dyDescent="0.25">
      <c r="K220" s="12"/>
    </row>
    <row r="221" spans="11:11" x14ac:dyDescent="0.25">
      <c r="K221" s="12"/>
    </row>
    <row r="222" spans="11:11" x14ac:dyDescent="0.25">
      <c r="K222" s="12"/>
    </row>
    <row r="223" spans="11:11" x14ac:dyDescent="0.25">
      <c r="K223" s="12"/>
    </row>
    <row r="224" spans="11:11" x14ac:dyDescent="0.25">
      <c r="K224" s="12"/>
    </row>
    <row r="225" spans="11:11" x14ac:dyDescent="0.25">
      <c r="K225" s="12"/>
    </row>
    <row r="226" spans="11:11" x14ac:dyDescent="0.25">
      <c r="K226" s="12"/>
    </row>
    <row r="227" spans="11:11" x14ac:dyDescent="0.25">
      <c r="K227" s="12"/>
    </row>
    <row r="228" spans="11:11" x14ac:dyDescent="0.25">
      <c r="K228" s="12"/>
    </row>
    <row r="229" spans="11:11" x14ac:dyDescent="0.25">
      <c r="K229" s="12"/>
    </row>
    <row r="230" spans="11:11" x14ac:dyDescent="0.25">
      <c r="K230" s="12"/>
    </row>
    <row r="231" spans="11:11" x14ac:dyDescent="0.25">
      <c r="K231" s="12"/>
    </row>
    <row r="232" spans="11:11" x14ac:dyDescent="0.25">
      <c r="K232" s="12"/>
    </row>
    <row r="233" spans="11:11" x14ac:dyDescent="0.25">
      <c r="K233" s="12"/>
    </row>
    <row r="234" spans="11:11" x14ac:dyDescent="0.25">
      <c r="K234" s="12"/>
    </row>
    <row r="235" spans="11:11" x14ac:dyDescent="0.25">
      <c r="K235" s="12"/>
    </row>
    <row r="236" spans="11:11" x14ac:dyDescent="0.25">
      <c r="K236" s="12"/>
    </row>
    <row r="237" spans="11:11" x14ac:dyDescent="0.25">
      <c r="K237" s="12"/>
    </row>
    <row r="238" spans="11:11" x14ac:dyDescent="0.25">
      <c r="K238" s="12"/>
    </row>
    <row r="239" spans="11:11" x14ac:dyDescent="0.25">
      <c r="K239" s="12"/>
    </row>
    <row r="240" spans="11:11" x14ac:dyDescent="0.25">
      <c r="K240" s="12"/>
    </row>
    <row r="241" spans="11:11" x14ac:dyDescent="0.25">
      <c r="K241" s="12"/>
    </row>
    <row r="242" spans="11:11" x14ac:dyDescent="0.25">
      <c r="K242" s="12"/>
    </row>
    <row r="243" spans="11:11" x14ac:dyDescent="0.25">
      <c r="K243" s="12"/>
    </row>
    <row r="244" spans="11:11" x14ac:dyDescent="0.25">
      <c r="K244" s="12"/>
    </row>
    <row r="245" spans="11:11" x14ac:dyDescent="0.25">
      <c r="K245" s="12"/>
    </row>
    <row r="246" spans="11:11" x14ac:dyDescent="0.25">
      <c r="K246" s="12"/>
    </row>
    <row r="247" spans="11:11" x14ac:dyDescent="0.25">
      <c r="K247" s="12"/>
    </row>
    <row r="248" spans="11:11" x14ac:dyDescent="0.25">
      <c r="K248" s="12"/>
    </row>
    <row r="249" spans="11:11" x14ac:dyDescent="0.25">
      <c r="K249" s="12"/>
    </row>
    <row r="250" spans="11:11" x14ac:dyDescent="0.25">
      <c r="K250" s="12"/>
    </row>
    <row r="251" spans="11:11" x14ac:dyDescent="0.25">
      <c r="K251" s="12"/>
    </row>
    <row r="252" spans="11:11" x14ac:dyDescent="0.25">
      <c r="K252" s="12"/>
    </row>
    <row r="253" spans="11:11" x14ac:dyDescent="0.25">
      <c r="K253" s="12"/>
    </row>
    <row r="254" spans="11:11" x14ac:dyDescent="0.25">
      <c r="K254" s="12"/>
    </row>
    <row r="255" spans="11:11" x14ac:dyDescent="0.25">
      <c r="K255" s="12"/>
    </row>
    <row r="256" spans="11:11" x14ac:dyDescent="0.25">
      <c r="K256" s="12"/>
    </row>
    <row r="257" spans="11:11" x14ac:dyDescent="0.25">
      <c r="K257" s="12"/>
    </row>
    <row r="258" spans="11:11" x14ac:dyDescent="0.25">
      <c r="K258" s="12"/>
    </row>
    <row r="259" spans="11:11" x14ac:dyDescent="0.25">
      <c r="K259" s="12"/>
    </row>
    <row r="260" spans="11:11" x14ac:dyDescent="0.25">
      <c r="K260" s="12"/>
    </row>
    <row r="261" spans="11:11" x14ac:dyDescent="0.25">
      <c r="K261" s="12"/>
    </row>
    <row r="262" spans="11:11" x14ac:dyDescent="0.25">
      <c r="K262" s="12"/>
    </row>
    <row r="263" spans="11:11" x14ac:dyDescent="0.25">
      <c r="K263" s="12"/>
    </row>
    <row r="264" spans="11:11" x14ac:dyDescent="0.25">
      <c r="K264" s="12"/>
    </row>
    <row r="265" spans="11:11" x14ac:dyDescent="0.25">
      <c r="K265" s="12"/>
    </row>
    <row r="266" spans="11:11" x14ac:dyDescent="0.25">
      <c r="K266" s="12"/>
    </row>
    <row r="267" spans="11:11" x14ac:dyDescent="0.25">
      <c r="K267" s="12"/>
    </row>
    <row r="268" spans="11:11" x14ac:dyDescent="0.25">
      <c r="K268" s="12"/>
    </row>
    <row r="269" spans="11:11" x14ac:dyDescent="0.25">
      <c r="K269" s="12"/>
    </row>
    <row r="270" spans="11:11" x14ac:dyDescent="0.25">
      <c r="K270" s="12"/>
    </row>
    <row r="271" spans="11:11" x14ac:dyDescent="0.25">
      <c r="K271" s="12"/>
    </row>
    <row r="272" spans="11:11" x14ac:dyDescent="0.25">
      <c r="K272" s="12"/>
    </row>
    <row r="273" spans="11:11" x14ac:dyDescent="0.25">
      <c r="K273" s="12"/>
    </row>
    <row r="274" spans="11:11" x14ac:dyDescent="0.25">
      <c r="K274" s="12"/>
    </row>
    <row r="275" spans="11:11" x14ac:dyDescent="0.25">
      <c r="K275" s="12"/>
    </row>
    <row r="276" spans="11:11" x14ac:dyDescent="0.25">
      <c r="K276" s="12"/>
    </row>
    <row r="277" spans="11:11" x14ac:dyDescent="0.25">
      <c r="K277" s="12"/>
    </row>
    <row r="278" spans="11:11" x14ac:dyDescent="0.25">
      <c r="K278" s="12"/>
    </row>
    <row r="279" spans="11:11" x14ac:dyDescent="0.25">
      <c r="K279" s="12"/>
    </row>
    <row r="280" spans="11:11" x14ac:dyDescent="0.25">
      <c r="K280" s="12"/>
    </row>
    <row r="281" spans="11:11" x14ac:dyDescent="0.25">
      <c r="K281" s="12"/>
    </row>
    <row r="282" spans="11:11" x14ac:dyDescent="0.25">
      <c r="K282" s="12"/>
    </row>
    <row r="283" spans="11:11" x14ac:dyDescent="0.25">
      <c r="K283" s="12"/>
    </row>
    <row r="284" spans="11:11" x14ac:dyDescent="0.25">
      <c r="K284" s="12"/>
    </row>
    <row r="285" spans="11:11" x14ac:dyDescent="0.25">
      <c r="K285" s="12"/>
    </row>
    <row r="286" spans="11:11" x14ac:dyDescent="0.25">
      <c r="K286" s="12"/>
    </row>
    <row r="287" spans="11:11" x14ac:dyDescent="0.25">
      <c r="K287" s="12"/>
    </row>
    <row r="288" spans="11:11" x14ac:dyDescent="0.25">
      <c r="K288" s="12"/>
    </row>
    <row r="289" spans="11:11" x14ac:dyDescent="0.25">
      <c r="K289" s="12"/>
    </row>
    <row r="290" spans="11:11" x14ac:dyDescent="0.25">
      <c r="K290" s="12"/>
    </row>
    <row r="291" spans="11:11" x14ac:dyDescent="0.25">
      <c r="K291" s="12"/>
    </row>
    <row r="292" spans="11:11" x14ac:dyDescent="0.25">
      <c r="K292" s="12"/>
    </row>
    <row r="293" spans="11:11" x14ac:dyDescent="0.25">
      <c r="K293" s="12"/>
    </row>
    <row r="294" spans="11:11" x14ac:dyDescent="0.25">
      <c r="K294" s="12"/>
    </row>
    <row r="295" spans="11:11" x14ac:dyDescent="0.25">
      <c r="K295" s="12"/>
    </row>
    <row r="296" spans="11:11" x14ac:dyDescent="0.25">
      <c r="K296" s="12"/>
    </row>
    <row r="297" spans="11:11" x14ac:dyDescent="0.25">
      <c r="K297" s="12"/>
    </row>
    <row r="298" spans="11:11" x14ac:dyDescent="0.25">
      <c r="K298" s="12"/>
    </row>
    <row r="299" spans="11:11" x14ac:dyDescent="0.25">
      <c r="K299" s="12"/>
    </row>
    <row r="300" spans="11:11" x14ac:dyDescent="0.25">
      <c r="K300" s="12"/>
    </row>
    <row r="301" spans="11:11" x14ac:dyDescent="0.25">
      <c r="K301" s="12"/>
    </row>
    <row r="302" spans="11:11" x14ac:dyDescent="0.25">
      <c r="K302" s="12"/>
    </row>
    <row r="303" spans="11:11" x14ac:dyDescent="0.25">
      <c r="K303" s="12"/>
    </row>
    <row r="304" spans="11:11" x14ac:dyDescent="0.25">
      <c r="K304" s="12"/>
    </row>
    <row r="305" spans="11:11" x14ac:dyDescent="0.25">
      <c r="K305" s="12"/>
    </row>
    <row r="306" spans="11:11" x14ac:dyDescent="0.25">
      <c r="K306" s="12"/>
    </row>
    <row r="307" spans="11:11" x14ac:dyDescent="0.25">
      <c r="K307" s="12"/>
    </row>
    <row r="308" spans="11:11" x14ac:dyDescent="0.25">
      <c r="K308" s="12"/>
    </row>
    <row r="309" spans="11:11" x14ac:dyDescent="0.25">
      <c r="K309" s="12"/>
    </row>
    <row r="310" spans="11:11" x14ac:dyDescent="0.25">
      <c r="K310" s="12"/>
    </row>
    <row r="311" spans="11:11" x14ac:dyDescent="0.25">
      <c r="K311" s="12"/>
    </row>
    <row r="312" spans="11:11" x14ac:dyDescent="0.25">
      <c r="K312" s="12"/>
    </row>
    <row r="313" spans="11:11" x14ac:dyDescent="0.25">
      <c r="K313" s="12"/>
    </row>
    <row r="314" spans="11:11" x14ac:dyDescent="0.25">
      <c r="K314" s="12"/>
    </row>
    <row r="315" spans="11:11" x14ac:dyDescent="0.25">
      <c r="K315" s="12"/>
    </row>
    <row r="316" spans="11:11" x14ac:dyDescent="0.25">
      <c r="K316" s="12"/>
    </row>
    <row r="317" spans="11:11" x14ac:dyDescent="0.25">
      <c r="K317" s="12"/>
    </row>
    <row r="318" spans="11:11" x14ac:dyDescent="0.25">
      <c r="K318" s="12"/>
    </row>
    <row r="319" spans="11:11" x14ac:dyDescent="0.25">
      <c r="K319" s="12"/>
    </row>
    <row r="320" spans="11:11" x14ac:dyDescent="0.25">
      <c r="K320" s="12"/>
    </row>
    <row r="321" spans="11:11" x14ac:dyDescent="0.25">
      <c r="K321" s="12"/>
    </row>
    <row r="322" spans="11:11" x14ac:dyDescent="0.25">
      <c r="K322" s="12"/>
    </row>
    <row r="323" spans="11:11" x14ac:dyDescent="0.25">
      <c r="K323" s="12"/>
    </row>
    <row r="324" spans="11:11" x14ac:dyDescent="0.25">
      <c r="K324" s="12"/>
    </row>
    <row r="325" spans="11:11" x14ac:dyDescent="0.25">
      <c r="K325" s="12"/>
    </row>
    <row r="326" spans="11:11" x14ac:dyDescent="0.25">
      <c r="K326" s="12"/>
    </row>
    <row r="327" spans="11:11" x14ac:dyDescent="0.25">
      <c r="K327" s="12"/>
    </row>
    <row r="328" spans="11:11" x14ac:dyDescent="0.25">
      <c r="K328" s="12"/>
    </row>
    <row r="329" spans="11:11" x14ac:dyDescent="0.25">
      <c r="K329" s="12"/>
    </row>
    <row r="330" spans="11:11" x14ac:dyDescent="0.25">
      <c r="K330" s="12"/>
    </row>
    <row r="331" spans="11:11" x14ac:dyDescent="0.25">
      <c r="K331" s="12"/>
    </row>
    <row r="332" spans="11:11" x14ac:dyDescent="0.25">
      <c r="K332" s="12"/>
    </row>
    <row r="333" spans="11:11" x14ac:dyDescent="0.25">
      <c r="K333" s="12"/>
    </row>
    <row r="334" spans="11:11" x14ac:dyDescent="0.25">
      <c r="K334" s="12"/>
    </row>
    <row r="335" spans="11:11" x14ac:dyDescent="0.25">
      <c r="K335" s="12"/>
    </row>
    <row r="336" spans="11:11" x14ac:dyDescent="0.25">
      <c r="K336" s="12"/>
    </row>
    <row r="337" spans="11:11" x14ac:dyDescent="0.25">
      <c r="K337" s="12"/>
    </row>
    <row r="338" spans="11:11" x14ac:dyDescent="0.25">
      <c r="K338" s="12"/>
    </row>
    <row r="339" spans="11:11" x14ac:dyDescent="0.25">
      <c r="K339" s="12"/>
    </row>
    <row r="340" spans="11:11" x14ac:dyDescent="0.25">
      <c r="K340" s="12"/>
    </row>
    <row r="341" spans="11:11" x14ac:dyDescent="0.25">
      <c r="K341" s="12"/>
    </row>
    <row r="342" spans="11:11" x14ac:dyDescent="0.25">
      <c r="K342" s="12"/>
    </row>
    <row r="343" spans="11:11" x14ac:dyDescent="0.25">
      <c r="K343" s="12"/>
    </row>
    <row r="344" spans="11:11" x14ac:dyDescent="0.25">
      <c r="K344" s="12"/>
    </row>
    <row r="345" spans="11:11" x14ac:dyDescent="0.25">
      <c r="K345" s="12"/>
    </row>
    <row r="346" spans="11:11" x14ac:dyDescent="0.25">
      <c r="K346" s="12"/>
    </row>
    <row r="347" spans="11:11" x14ac:dyDescent="0.25">
      <c r="K347" s="12"/>
    </row>
    <row r="348" spans="11:11" x14ac:dyDescent="0.25">
      <c r="K348" s="12"/>
    </row>
    <row r="349" spans="11:11" x14ac:dyDescent="0.25">
      <c r="K349" s="12"/>
    </row>
    <row r="350" spans="11:11" x14ac:dyDescent="0.25">
      <c r="K350" s="12"/>
    </row>
    <row r="351" spans="11:11" x14ac:dyDescent="0.25">
      <c r="K351" s="12"/>
    </row>
    <row r="352" spans="11:11" x14ac:dyDescent="0.25">
      <c r="K352" s="12"/>
    </row>
    <row r="353" spans="11:11" x14ac:dyDescent="0.25">
      <c r="K353" s="12"/>
    </row>
    <row r="354" spans="11:11" x14ac:dyDescent="0.25">
      <c r="K354" s="12"/>
    </row>
    <row r="355" spans="11:11" x14ac:dyDescent="0.25">
      <c r="K355" s="12"/>
    </row>
    <row r="356" spans="11:11" x14ac:dyDescent="0.25">
      <c r="K356" s="12"/>
    </row>
    <row r="357" spans="11:11" x14ac:dyDescent="0.25">
      <c r="K357" s="12"/>
    </row>
    <row r="358" spans="11:11" x14ac:dyDescent="0.25">
      <c r="K358" s="12"/>
    </row>
    <row r="359" spans="11:11" x14ac:dyDescent="0.25">
      <c r="K359" s="12"/>
    </row>
    <row r="360" spans="11:11" x14ac:dyDescent="0.25">
      <c r="K360" s="12"/>
    </row>
    <row r="361" spans="11:11" x14ac:dyDescent="0.25">
      <c r="K361" s="12"/>
    </row>
    <row r="362" spans="11:11" x14ac:dyDescent="0.25">
      <c r="K362" s="12"/>
    </row>
    <row r="363" spans="11:11" x14ac:dyDescent="0.25">
      <c r="K363" s="12"/>
    </row>
    <row r="364" spans="11:11" x14ac:dyDescent="0.25">
      <c r="K364" s="12"/>
    </row>
    <row r="365" spans="11:11" x14ac:dyDescent="0.25">
      <c r="K365" s="12"/>
    </row>
    <row r="366" spans="11:11" x14ac:dyDescent="0.25">
      <c r="K366" s="12"/>
    </row>
    <row r="367" spans="11:11" x14ac:dyDescent="0.25">
      <c r="K367" s="12"/>
    </row>
    <row r="368" spans="11:11" x14ac:dyDescent="0.25">
      <c r="K368" s="12"/>
    </row>
    <row r="369" spans="11:11" x14ac:dyDescent="0.25">
      <c r="K369" s="12"/>
    </row>
    <row r="370" spans="11:11" x14ac:dyDescent="0.25">
      <c r="K370" s="12"/>
    </row>
    <row r="371" spans="11:11" x14ac:dyDescent="0.25">
      <c r="K371" s="12"/>
    </row>
    <row r="372" spans="11:11" x14ac:dyDescent="0.25">
      <c r="K372" s="12"/>
    </row>
    <row r="373" spans="11:11" x14ac:dyDescent="0.25">
      <c r="K373" s="12"/>
    </row>
    <row r="374" spans="11:11" x14ac:dyDescent="0.25">
      <c r="K374" s="12"/>
    </row>
    <row r="375" spans="11:11" x14ac:dyDescent="0.25">
      <c r="K375" s="12"/>
    </row>
    <row r="376" spans="11:11" x14ac:dyDescent="0.25">
      <c r="K376" s="12"/>
    </row>
    <row r="377" spans="11:11" x14ac:dyDescent="0.25">
      <c r="K377" s="12"/>
    </row>
    <row r="378" spans="11:11" x14ac:dyDescent="0.25">
      <c r="K378" s="12"/>
    </row>
    <row r="379" spans="11:11" x14ac:dyDescent="0.25">
      <c r="K379" s="12"/>
    </row>
    <row r="380" spans="11:11" x14ac:dyDescent="0.25">
      <c r="K380" s="12"/>
    </row>
    <row r="381" spans="11:11" x14ac:dyDescent="0.25">
      <c r="K381" s="12"/>
    </row>
    <row r="382" spans="11:11" x14ac:dyDescent="0.25">
      <c r="K382" s="12"/>
    </row>
    <row r="383" spans="11:11" x14ac:dyDescent="0.25">
      <c r="K383" s="12"/>
    </row>
    <row r="384" spans="11:11" x14ac:dyDescent="0.25">
      <c r="K384" s="12"/>
    </row>
    <row r="385" spans="11:11" x14ac:dyDescent="0.25">
      <c r="K385" s="12"/>
    </row>
    <row r="386" spans="11:11" x14ac:dyDescent="0.25">
      <c r="K386" s="12"/>
    </row>
    <row r="387" spans="11:11" x14ac:dyDescent="0.25">
      <c r="K387" s="12"/>
    </row>
    <row r="388" spans="11:11" x14ac:dyDescent="0.25">
      <c r="K388" s="12"/>
    </row>
    <row r="389" spans="11:11" x14ac:dyDescent="0.25">
      <c r="K389" s="12"/>
    </row>
    <row r="390" spans="11:11" x14ac:dyDescent="0.25">
      <c r="K390" s="12"/>
    </row>
    <row r="391" spans="11:11" x14ac:dyDescent="0.25">
      <c r="K391" s="12"/>
    </row>
    <row r="392" spans="11:11" x14ac:dyDescent="0.25">
      <c r="K392" s="12"/>
    </row>
    <row r="393" spans="11:11" x14ac:dyDescent="0.25">
      <c r="K393" s="12"/>
    </row>
    <row r="394" spans="11:11" x14ac:dyDescent="0.25">
      <c r="K394" s="12"/>
    </row>
    <row r="395" spans="11:11" x14ac:dyDescent="0.25">
      <c r="K395" s="12"/>
    </row>
    <row r="396" spans="11:11" x14ac:dyDescent="0.25">
      <c r="K396" s="12"/>
    </row>
    <row r="397" spans="11:11" x14ac:dyDescent="0.25">
      <c r="K397" s="12"/>
    </row>
    <row r="398" spans="11:11" x14ac:dyDescent="0.25">
      <c r="K398" s="12"/>
    </row>
    <row r="399" spans="11:11" x14ac:dyDescent="0.25">
      <c r="K399" s="12"/>
    </row>
    <row r="400" spans="11:11" x14ac:dyDescent="0.25">
      <c r="K400" s="12"/>
    </row>
    <row r="401" spans="11:11" x14ac:dyDescent="0.25">
      <c r="K401" s="12"/>
    </row>
    <row r="402" spans="11:11" x14ac:dyDescent="0.25">
      <c r="K402" s="12"/>
    </row>
    <row r="403" spans="11:11" x14ac:dyDescent="0.25">
      <c r="K403" s="12"/>
    </row>
    <row r="404" spans="11:11" x14ac:dyDescent="0.25">
      <c r="K404" s="12"/>
    </row>
    <row r="405" spans="11:11" x14ac:dyDescent="0.25">
      <c r="K405" s="12"/>
    </row>
    <row r="406" spans="11:11" x14ac:dyDescent="0.25">
      <c r="K406" s="12"/>
    </row>
    <row r="407" spans="11:11" x14ac:dyDescent="0.25">
      <c r="K407" s="12"/>
    </row>
    <row r="408" spans="11:11" x14ac:dyDescent="0.25">
      <c r="K408" s="12"/>
    </row>
    <row r="409" spans="11:11" x14ac:dyDescent="0.25">
      <c r="K409" s="12"/>
    </row>
    <row r="410" spans="11:11" x14ac:dyDescent="0.25">
      <c r="K410" s="12"/>
    </row>
    <row r="411" spans="11:11" x14ac:dyDescent="0.25">
      <c r="K411" s="12"/>
    </row>
    <row r="412" spans="11:11" x14ac:dyDescent="0.25">
      <c r="K412" s="12"/>
    </row>
    <row r="413" spans="11:11" x14ac:dyDescent="0.25">
      <c r="K413" s="12"/>
    </row>
    <row r="414" spans="11:11" x14ac:dyDescent="0.25">
      <c r="K414" s="12"/>
    </row>
    <row r="415" spans="11:11" x14ac:dyDescent="0.25">
      <c r="K415" s="12"/>
    </row>
    <row r="416" spans="11:11" x14ac:dyDescent="0.25">
      <c r="K416" s="12"/>
    </row>
    <row r="417" spans="11:11" x14ac:dyDescent="0.25">
      <c r="K417" s="12"/>
    </row>
    <row r="418" spans="11:11" x14ac:dyDescent="0.25">
      <c r="K418" s="12"/>
    </row>
    <row r="419" spans="11:11" x14ac:dyDescent="0.25">
      <c r="K419" s="12"/>
    </row>
    <row r="420" spans="11:11" x14ac:dyDescent="0.25">
      <c r="K420" s="12"/>
    </row>
    <row r="421" spans="11:11" x14ac:dyDescent="0.25">
      <c r="K421" s="12"/>
    </row>
    <row r="422" spans="11:11" x14ac:dyDescent="0.25">
      <c r="K422" s="12"/>
    </row>
    <row r="423" spans="11:11" x14ac:dyDescent="0.25">
      <c r="K423" s="12"/>
    </row>
    <row r="424" spans="11:11" x14ac:dyDescent="0.25">
      <c r="K424" s="12"/>
    </row>
    <row r="425" spans="11:11" x14ac:dyDescent="0.25">
      <c r="K425" s="12"/>
    </row>
    <row r="426" spans="11:11" x14ac:dyDescent="0.25">
      <c r="K426" s="12"/>
    </row>
    <row r="427" spans="11:11" x14ac:dyDescent="0.25">
      <c r="K427" s="12"/>
    </row>
    <row r="428" spans="11:11" x14ac:dyDescent="0.25">
      <c r="K428" s="12"/>
    </row>
    <row r="429" spans="11:11" x14ac:dyDescent="0.25">
      <c r="K429" s="12"/>
    </row>
    <row r="430" spans="11:11" x14ac:dyDescent="0.25">
      <c r="K430" s="12"/>
    </row>
    <row r="431" spans="11:11" x14ac:dyDescent="0.25">
      <c r="K431" s="12"/>
    </row>
    <row r="432" spans="11:11" x14ac:dyDescent="0.25">
      <c r="K432" s="12"/>
    </row>
    <row r="433" spans="11:11" x14ac:dyDescent="0.25">
      <c r="K433" s="12"/>
    </row>
    <row r="434" spans="11:11" x14ac:dyDescent="0.25">
      <c r="K434" s="12"/>
    </row>
    <row r="435" spans="11:11" x14ac:dyDescent="0.25">
      <c r="K435" s="12"/>
    </row>
    <row r="436" spans="11:11" x14ac:dyDescent="0.25">
      <c r="K436" s="12"/>
    </row>
    <row r="437" spans="11:11" x14ac:dyDescent="0.25">
      <c r="K437" s="12"/>
    </row>
    <row r="438" spans="11:11" x14ac:dyDescent="0.25">
      <c r="K438" s="12"/>
    </row>
    <row r="439" spans="11:11" x14ac:dyDescent="0.25">
      <c r="K439" s="12"/>
    </row>
    <row r="440" spans="11:11" x14ac:dyDescent="0.25">
      <c r="K440" s="12"/>
    </row>
    <row r="441" spans="11:11" x14ac:dyDescent="0.25">
      <c r="K441" s="12"/>
    </row>
    <row r="442" spans="11:11" x14ac:dyDescent="0.25">
      <c r="K442" s="12"/>
    </row>
    <row r="443" spans="11:11" x14ac:dyDescent="0.25">
      <c r="K443" s="12"/>
    </row>
    <row r="444" spans="11:11" x14ac:dyDescent="0.25">
      <c r="K444" s="12"/>
    </row>
    <row r="445" spans="11:11" x14ac:dyDescent="0.25">
      <c r="K445" s="12"/>
    </row>
    <row r="446" spans="11:11" x14ac:dyDescent="0.25">
      <c r="K446" s="12"/>
    </row>
    <row r="447" spans="11:11" x14ac:dyDescent="0.25">
      <c r="K447" s="12"/>
    </row>
    <row r="448" spans="11:11" x14ac:dyDescent="0.25">
      <c r="K448" s="12"/>
    </row>
    <row r="449" spans="11:11" x14ac:dyDescent="0.25">
      <c r="K449" s="12"/>
    </row>
    <row r="450" spans="11:11" x14ac:dyDescent="0.25">
      <c r="K450" s="12"/>
    </row>
    <row r="451" spans="11:11" x14ac:dyDescent="0.25">
      <c r="K451" s="12"/>
    </row>
    <row r="452" spans="11:11" x14ac:dyDescent="0.25">
      <c r="K452" s="12"/>
    </row>
    <row r="453" spans="11:11" x14ac:dyDescent="0.25">
      <c r="K453" s="12"/>
    </row>
    <row r="454" spans="11:11" x14ac:dyDescent="0.25">
      <c r="K454" s="12"/>
    </row>
    <row r="455" spans="11:11" x14ac:dyDescent="0.25">
      <c r="K455" s="12"/>
    </row>
    <row r="456" spans="11:11" x14ac:dyDescent="0.25">
      <c r="K456" s="12"/>
    </row>
    <row r="457" spans="11:11" x14ac:dyDescent="0.25">
      <c r="K457" s="12"/>
    </row>
    <row r="458" spans="11:11" x14ac:dyDescent="0.25">
      <c r="K458" s="12"/>
    </row>
    <row r="459" spans="11:11" x14ac:dyDescent="0.25">
      <c r="K459" s="12"/>
    </row>
    <row r="460" spans="11:11" x14ac:dyDescent="0.25">
      <c r="K460" s="12"/>
    </row>
    <row r="461" spans="11:11" x14ac:dyDescent="0.25">
      <c r="K461" s="12"/>
    </row>
    <row r="462" spans="11:11" x14ac:dyDescent="0.25">
      <c r="K462" s="12"/>
    </row>
    <row r="463" spans="11:11" x14ac:dyDescent="0.25">
      <c r="K463" s="12"/>
    </row>
    <row r="464" spans="11:11" x14ac:dyDescent="0.25">
      <c r="K464" s="12"/>
    </row>
    <row r="465" spans="11:11" x14ac:dyDescent="0.25">
      <c r="K465" s="12"/>
    </row>
    <row r="466" spans="11:11" x14ac:dyDescent="0.25">
      <c r="K466" s="12"/>
    </row>
    <row r="467" spans="11:11" x14ac:dyDescent="0.25">
      <c r="K467" s="12"/>
    </row>
    <row r="468" spans="11:11" x14ac:dyDescent="0.25">
      <c r="K468" s="12"/>
    </row>
    <row r="469" spans="11:11" x14ac:dyDescent="0.25">
      <c r="K469" s="12"/>
    </row>
    <row r="470" spans="11:11" x14ac:dyDescent="0.25">
      <c r="K470" s="12"/>
    </row>
    <row r="471" spans="11:11" x14ac:dyDescent="0.25">
      <c r="K471" s="12"/>
    </row>
    <row r="472" spans="11:11" x14ac:dyDescent="0.25">
      <c r="K472" s="12"/>
    </row>
    <row r="473" spans="11:11" x14ac:dyDescent="0.25">
      <c r="K473" s="12"/>
    </row>
    <row r="474" spans="11:11" x14ac:dyDescent="0.25">
      <c r="K474" s="12"/>
    </row>
    <row r="475" spans="11:11" x14ac:dyDescent="0.25">
      <c r="K475" s="12"/>
    </row>
    <row r="476" spans="11:11" x14ac:dyDescent="0.25">
      <c r="K476" s="12"/>
    </row>
    <row r="477" spans="11:11" x14ac:dyDescent="0.25">
      <c r="K477" s="12"/>
    </row>
    <row r="478" spans="11:11" x14ac:dyDescent="0.25">
      <c r="K478" s="12"/>
    </row>
    <row r="479" spans="11:11" x14ac:dyDescent="0.25">
      <c r="K479" s="12"/>
    </row>
    <row r="480" spans="11:11" x14ac:dyDescent="0.25">
      <c r="K480" s="12"/>
    </row>
    <row r="481" spans="11:11" x14ac:dyDescent="0.25">
      <c r="K481" s="12"/>
    </row>
    <row r="482" spans="11:11" x14ac:dyDescent="0.25">
      <c r="K482" s="12"/>
    </row>
    <row r="483" spans="11:11" x14ac:dyDescent="0.25">
      <c r="K483" s="12"/>
    </row>
    <row r="484" spans="11:11" x14ac:dyDescent="0.25">
      <c r="K484" s="12"/>
    </row>
    <row r="485" spans="11:11" x14ac:dyDescent="0.25">
      <c r="K485" s="12"/>
    </row>
    <row r="486" spans="11:11" x14ac:dyDescent="0.25">
      <c r="K486" s="12"/>
    </row>
    <row r="487" spans="11:11" x14ac:dyDescent="0.25">
      <c r="K487" s="12"/>
    </row>
    <row r="488" spans="11:11" x14ac:dyDescent="0.25">
      <c r="K488" s="12"/>
    </row>
    <row r="489" spans="11:11" x14ac:dyDescent="0.25">
      <c r="K489" s="12"/>
    </row>
    <row r="490" spans="11:11" x14ac:dyDescent="0.25">
      <c r="K490" s="12"/>
    </row>
    <row r="491" spans="11:11" x14ac:dyDescent="0.25">
      <c r="K491" s="12"/>
    </row>
    <row r="492" spans="11:11" x14ac:dyDescent="0.25">
      <c r="K492" s="12"/>
    </row>
    <row r="493" spans="11:11" x14ac:dyDescent="0.25">
      <c r="K493" s="12"/>
    </row>
    <row r="494" spans="11:11" x14ac:dyDescent="0.25">
      <c r="K494" s="12"/>
    </row>
    <row r="495" spans="11:11" x14ac:dyDescent="0.25">
      <c r="K495" s="12"/>
    </row>
    <row r="496" spans="11:11" x14ac:dyDescent="0.25">
      <c r="K496" s="12"/>
    </row>
    <row r="497" spans="11:11" x14ac:dyDescent="0.25">
      <c r="K497" s="12"/>
    </row>
    <row r="498" spans="11:11" x14ac:dyDescent="0.25">
      <c r="K498" s="12"/>
    </row>
    <row r="499" spans="11:11" x14ac:dyDescent="0.25">
      <c r="K499" s="12"/>
    </row>
    <row r="500" spans="11:11" x14ac:dyDescent="0.25">
      <c r="K500" s="12"/>
    </row>
    <row r="501" spans="11:11" x14ac:dyDescent="0.25">
      <c r="K501" s="12"/>
    </row>
    <row r="502" spans="11:11" x14ac:dyDescent="0.25">
      <c r="K502" s="12"/>
    </row>
    <row r="503" spans="11:11" x14ac:dyDescent="0.25">
      <c r="K503" s="12"/>
    </row>
    <row r="504" spans="11:11" x14ac:dyDescent="0.25">
      <c r="K504" s="12"/>
    </row>
    <row r="505" spans="11:11" x14ac:dyDescent="0.25">
      <c r="K505" s="12"/>
    </row>
    <row r="506" spans="11:11" x14ac:dyDescent="0.25">
      <c r="K506" s="12"/>
    </row>
    <row r="507" spans="11:11" x14ac:dyDescent="0.25">
      <c r="K507" s="12"/>
    </row>
    <row r="508" spans="11:11" x14ac:dyDescent="0.25">
      <c r="K508" s="12"/>
    </row>
    <row r="509" spans="11:11" x14ac:dyDescent="0.25">
      <c r="K509" s="12"/>
    </row>
    <row r="510" spans="11:11" x14ac:dyDescent="0.25">
      <c r="K510" s="12"/>
    </row>
    <row r="511" spans="11:11" x14ac:dyDescent="0.25">
      <c r="K511" s="12"/>
    </row>
    <row r="512" spans="11:11" x14ac:dyDescent="0.25">
      <c r="K512" s="12"/>
    </row>
    <row r="513" spans="11:11" x14ac:dyDescent="0.25">
      <c r="K513" s="12"/>
    </row>
    <row r="514" spans="11:11" x14ac:dyDescent="0.25">
      <c r="K514" s="12"/>
    </row>
    <row r="515" spans="11:11" x14ac:dyDescent="0.25">
      <c r="K515" s="12"/>
    </row>
    <row r="516" spans="11:11" x14ac:dyDescent="0.25">
      <c r="K516" s="12"/>
    </row>
    <row r="517" spans="11:11" x14ac:dyDescent="0.25">
      <c r="K517" s="12"/>
    </row>
    <row r="518" spans="11:11" x14ac:dyDescent="0.25">
      <c r="K518" s="12"/>
    </row>
    <row r="519" spans="11:11" x14ac:dyDescent="0.25">
      <c r="K519" s="12"/>
    </row>
    <row r="520" spans="11:11" x14ac:dyDescent="0.25">
      <c r="K520" s="12"/>
    </row>
    <row r="521" spans="11:11" x14ac:dyDescent="0.25">
      <c r="K521" s="12"/>
    </row>
    <row r="522" spans="11:11" x14ac:dyDescent="0.25">
      <c r="K522" s="12"/>
    </row>
    <row r="523" spans="11:11" x14ac:dyDescent="0.25">
      <c r="K523" s="12"/>
    </row>
    <row r="524" spans="11:11" x14ac:dyDescent="0.25">
      <c r="K524" s="12"/>
    </row>
    <row r="525" spans="11:11" x14ac:dyDescent="0.25">
      <c r="K525" s="12"/>
    </row>
    <row r="526" spans="11:11" x14ac:dyDescent="0.25">
      <c r="K526" s="12"/>
    </row>
    <row r="527" spans="11:11" x14ac:dyDescent="0.25">
      <c r="K527" s="12"/>
    </row>
    <row r="528" spans="11:11" x14ac:dyDescent="0.25">
      <c r="K528" s="12"/>
    </row>
    <row r="529" spans="11:11" x14ac:dyDescent="0.25">
      <c r="K529" s="12"/>
    </row>
    <row r="530" spans="11:11" x14ac:dyDescent="0.25">
      <c r="K530" s="12"/>
    </row>
    <row r="531" spans="11:11" x14ac:dyDescent="0.25">
      <c r="K531" s="12"/>
    </row>
    <row r="532" spans="11:11" x14ac:dyDescent="0.25">
      <c r="K532" s="12"/>
    </row>
    <row r="533" spans="11:11" x14ac:dyDescent="0.25">
      <c r="K533" s="12"/>
    </row>
    <row r="534" spans="11:11" x14ac:dyDescent="0.25">
      <c r="K534" s="12"/>
    </row>
    <row r="535" spans="11:11" x14ac:dyDescent="0.25">
      <c r="K535" s="12"/>
    </row>
    <row r="536" spans="11:11" x14ac:dyDescent="0.25">
      <c r="K536" s="12"/>
    </row>
    <row r="537" spans="11:11" x14ac:dyDescent="0.25">
      <c r="K537" s="12"/>
    </row>
    <row r="538" spans="11:11" x14ac:dyDescent="0.25">
      <c r="K538" s="12"/>
    </row>
    <row r="539" spans="11:11" x14ac:dyDescent="0.25">
      <c r="K539" s="12"/>
    </row>
    <row r="540" spans="11:11" x14ac:dyDescent="0.25">
      <c r="K540" s="12"/>
    </row>
    <row r="541" spans="11:11" x14ac:dyDescent="0.25">
      <c r="K541" s="12"/>
    </row>
    <row r="542" spans="11:11" x14ac:dyDescent="0.25">
      <c r="K542" s="12"/>
    </row>
    <row r="543" spans="11:11" x14ac:dyDescent="0.25">
      <c r="K543" s="12"/>
    </row>
    <row r="544" spans="11:11" x14ac:dyDescent="0.25">
      <c r="K544" s="12"/>
    </row>
    <row r="545" spans="11:11" x14ac:dyDescent="0.25">
      <c r="K545" s="12"/>
    </row>
    <row r="546" spans="11:11" x14ac:dyDescent="0.25">
      <c r="K546" s="12"/>
    </row>
    <row r="547" spans="11:11" x14ac:dyDescent="0.25">
      <c r="K547" s="12"/>
    </row>
    <row r="548" spans="11:11" x14ac:dyDescent="0.25">
      <c r="K548" s="12"/>
    </row>
    <row r="549" spans="11:11" x14ac:dyDescent="0.25">
      <c r="K549" s="12"/>
    </row>
    <row r="550" spans="11:11" x14ac:dyDescent="0.25">
      <c r="K550" s="12"/>
    </row>
    <row r="551" spans="11:11" x14ac:dyDescent="0.25">
      <c r="K551" s="12"/>
    </row>
    <row r="552" spans="11:11" x14ac:dyDescent="0.25">
      <c r="K552" s="12"/>
    </row>
    <row r="553" spans="11:11" x14ac:dyDescent="0.25">
      <c r="K553" s="12"/>
    </row>
    <row r="554" spans="11:11" x14ac:dyDescent="0.25">
      <c r="K554" s="12"/>
    </row>
    <row r="555" spans="11:11" x14ac:dyDescent="0.25">
      <c r="K555" s="12"/>
    </row>
    <row r="556" spans="11:11" x14ac:dyDescent="0.25">
      <c r="K556" s="12"/>
    </row>
    <row r="557" spans="11:11" x14ac:dyDescent="0.25">
      <c r="K557" s="12"/>
    </row>
    <row r="558" spans="11:11" x14ac:dyDescent="0.25">
      <c r="K558" s="12"/>
    </row>
    <row r="559" spans="11:11" x14ac:dyDescent="0.25">
      <c r="K559" s="12"/>
    </row>
    <row r="560" spans="11:11" x14ac:dyDescent="0.25">
      <c r="K560" s="12"/>
    </row>
    <row r="561" spans="11:11" x14ac:dyDescent="0.25">
      <c r="K561" s="12"/>
    </row>
    <row r="562" spans="11:11" x14ac:dyDescent="0.25">
      <c r="K562" s="12"/>
    </row>
    <row r="563" spans="11:11" x14ac:dyDescent="0.25">
      <c r="K563" s="12"/>
    </row>
    <row r="564" spans="11:11" x14ac:dyDescent="0.25">
      <c r="K564" s="12"/>
    </row>
    <row r="565" spans="11:11" x14ac:dyDescent="0.25">
      <c r="K565" s="12"/>
    </row>
    <row r="566" spans="11:11" x14ac:dyDescent="0.25">
      <c r="K566" s="12"/>
    </row>
    <row r="567" spans="11:11" x14ac:dyDescent="0.25">
      <c r="K567" s="12"/>
    </row>
    <row r="568" spans="11:11" x14ac:dyDescent="0.25">
      <c r="K568" s="12"/>
    </row>
    <row r="569" spans="11:11" x14ac:dyDescent="0.25">
      <c r="K569" s="12"/>
    </row>
    <row r="570" spans="11:11" x14ac:dyDescent="0.25">
      <c r="K570" s="12"/>
    </row>
    <row r="571" spans="11:11" x14ac:dyDescent="0.25">
      <c r="K571" s="12"/>
    </row>
    <row r="572" spans="11:11" x14ac:dyDescent="0.25">
      <c r="K572" s="12"/>
    </row>
    <row r="573" spans="11:11" x14ac:dyDescent="0.25">
      <c r="K573" s="12"/>
    </row>
    <row r="574" spans="11:11" x14ac:dyDescent="0.25">
      <c r="K574" s="12"/>
    </row>
    <row r="575" spans="11:11" x14ac:dyDescent="0.25">
      <c r="K575" s="12"/>
    </row>
    <row r="576" spans="11:11" x14ac:dyDescent="0.25">
      <c r="K576" s="12"/>
    </row>
    <row r="577" spans="11:11" x14ac:dyDescent="0.25">
      <c r="K577" s="12"/>
    </row>
    <row r="578" spans="11:11" x14ac:dyDescent="0.25">
      <c r="K578" s="12"/>
    </row>
    <row r="579" spans="11:11" x14ac:dyDescent="0.25">
      <c r="K579" s="12"/>
    </row>
    <row r="580" spans="11:11" x14ac:dyDescent="0.25">
      <c r="K580" s="12"/>
    </row>
    <row r="581" spans="11:11" x14ac:dyDescent="0.25">
      <c r="K581" s="12"/>
    </row>
    <row r="582" spans="11:11" x14ac:dyDescent="0.25">
      <c r="K582" s="12"/>
    </row>
    <row r="583" spans="11:11" x14ac:dyDescent="0.25">
      <c r="K583" s="12"/>
    </row>
    <row r="584" spans="11:11" x14ac:dyDescent="0.25">
      <c r="K584" s="12"/>
    </row>
    <row r="585" spans="11:11" x14ac:dyDescent="0.25">
      <c r="K585" s="12"/>
    </row>
    <row r="586" spans="11:11" x14ac:dyDescent="0.25">
      <c r="K586" s="12"/>
    </row>
    <row r="587" spans="11:11" x14ac:dyDescent="0.25">
      <c r="K587" s="12"/>
    </row>
    <row r="588" spans="11:11" x14ac:dyDescent="0.25">
      <c r="K588" s="12"/>
    </row>
    <row r="589" spans="11:11" x14ac:dyDescent="0.25">
      <c r="K589" s="12"/>
    </row>
    <row r="590" spans="11:11" x14ac:dyDescent="0.25">
      <c r="K590" s="12"/>
    </row>
    <row r="591" spans="11:11" x14ac:dyDescent="0.25">
      <c r="K591" s="12"/>
    </row>
    <row r="592" spans="11:11" x14ac:dyDescent="0.25">
      <c r="K592" s="12"/>
    </row>
    <row r="593" spans="11:11" x14ac:dyDescent="0.25">
      <c r="K593" s="12"/>
    </row>
    <row r="594" spans="11:11" x14ac:dyDescent="0.25">
      <c r="K594" s="12"/>
    </row>
    <row r="595" spans="11:11" x14ac:dyDescent="0.25">
      <c r="K595" s="12"/>
    </row>
    <row r="596" spans="11:11" x14ac:dyDescent="0.25">
      <c r="K596" s="12"/>
    </row>
    <row r="597" spans="11:11" x14ac:dyDescent="0.25">
      <c r="K597" s="12"/>
    </row>
    <row r="598" spans="11:11" x14ac:dyDescent="0.25">
      <c r="K598" s="12"/>
    </row>
    <row r="599" spans="11:11" x14ac:dyDescent="0.25">
      <c r="K599" s="12"/>
    </row>
    <row r="600" spans="11:11" x14ac:dyDescent="0.25">
      <c r="K600" s="12"/>
    </row>
    <row r="601" spans="11:11" x14ac:dyDescent="0.25">
      <c r="K601" s="12"/>
    </row>
    <row r="602" spans="11:11" x14ac:dyDescent="0.25">
      <c r="K602" s="12"/>
    </row>
    <row r="603" spans="11:11" x14ac:dyDescent="0.25">
      <c r="K603" s="12"/>
    </row>
    <row r="604" spans="11:11" x14ac:dyDescent="0.25">
      <c r="K604" s="12"/>
    </row>
    <row r="605" spans="11:11" x14ac:dyDescent="0.25">
      <c r="K605" s="12"/>
    </row>
    <row r="606" spans="11:11" x14ac:dyDescent="0.25">
      <c r="K606" s="12"/>
    </row>
    <row r="607" spans="11:11" x14ac:dyDescent="0.25">
      <c r="K607" s="12"/>
    </row>
    <row r="608" spans="11:11" x14ac:dyDescent="0.25">
      <c r="K608" s="12"/>
    </row>
    <row r="609" spans="11:11" x14ac:dyDescent="0.25">
      <c r="K609" s="12"/>
    </row>
    <row r="610" spans="11:11" x14ac:dyDescent="0.25">
      <c r="K610" s="12"/>
    </row>
    <row r="611" spans="11:11" x14ac:dyDescent="0.25">
      <c r="K611" s="12"/>
    </row>
    <row r="612" spans="11:11" x14ac:dyDescent="0.25">
      <c r="K612" s="12"/>
    </row>
    <row r="613" spans="11:11" x14ac:dyDescent="0.25">
      <c r="K613" s="12"/>
    </row>
    <row r="614" spans="11:11" x14ac:dyDescent="0.25">
      <c r="K614" s="12"/>
    </row>
    <row r="615" spans="11:11" x14ac:dyDescent="0.25">
      <c r="K615" s="12"/>
    </row>
    <row r="616" spans="11:11" x14ac:dyDescent="0.25">
      <c r="K616" s="12"/>
    </row>
    <row r="617" spans="11:11" x14ac:dyDescent="0.25">
      <c r="K617" s="12"/>
    </row>
    <row r="618" spans="11:11" x14ac:dyDescent="0.25">
      <c r="K618" s="12"/>
    </row>
    <row r="619" spans="11:11" x14ac:dyDescent="0.25">
      <c r="K619" s="12"/>
    </row>
    <row r="620" spans="11:11" x14ac:dyDescent="0.25">
      <c r="K620" s="12"/>
    </row>
    <row r="621" spans="11:11" x14ac:dyDescent="0.25">
      <c r="K621" s="12"/>
    </row>
    <row r="622" spans="11:11" x14ac:dyDescent="0.25">
      <c r="K622" s="12"/>
    </row>
    <row r="623" spans="11:11" x14ac:dyDescent="0.25">
      <c r="K623" s="12"/>
    </row>
    <row r="624" spans="11:11" x14ac:dyDescent="0.25">
      <c r="K624" s="12"/>
    </row>
    <row r="625" spans="11:11" x14ac:dyDescent="0.25">
      <c r="K625" s="12"/>
    </row>
    <row r="626" spans="11:11" x14ac:dyDescent="0.25">
      <c r="K626" s="12"/>
    </row>
    <row r="627" spans="11:11" x14ac:dyDescent="0.25">
      <c r="K627" s="12"/>
    </row>
    <row r="628" spans="11:11" x14ac:dyDescent="0.25">
      <c r="K628" s="12"/>
    </row>
    <row r="629" spans="11:11" x14ac:dyDescent="0.25">
      <c r="K629" s="12"/>
    </row>
    <row r="630" spans="11:11" x14ac:dyDescent="0.25">
      <c r="K630" s="12"/>
    </row>
    <row r="631" spans="11:11" x14ac:dyDescent="0.25">
      <c r="K631" s="12"/>
    </row>
    <row r="632" spans="11:11" x14ac:dyDescent="0.25">
      <c r="K632" s="12"/>
    </row>
    <row r="633" spans="11:11" x14ac:dyDescent="0.25">
      <c r="K633" s="12"/>
    </row>
    <row r="634" spans="11:11" x14ac:dyDescent="0.25">
      <c r="K634" s="12"/>
    </row>
    <row r="635" spans="11:11" x14ac:dyDescent="0.25">
      <c r="K635" s="12"/>
    </row>
    <row r="636" spans="11:11" x14ac:dyDescent="0.25">
      <c r="K636" s="12"/>
    </row>
    <row r="637" spans="11:11" x14ac:dyDescent="0.25">
      <c r="K637" s="12"/>
    </row>
    <row r="638" spans="11:11" x14ac:dyDescent="0.25">
      <c r="K638" s="12"/>
    </row>
    <row r="639" spans="11:11" x14ac:dyDescent="0.25">
      <c r="K639" s="12"/>
    </row>
    <row r="640" spans="11:11" x14ac:dyDescent="0.25">
      <c r="K640" s="12"/>
    </row>
    <row r="641" spans="11:11" x14ac:dyDescent="0.25">
      <c r="K641" s="12"/>
    </row>
    <row r="642" spans="11:11" x14ac:dyDescent="0.25">
      <c r="K642" s="12"/>
    </row>
    <row r="643" spans="11:11" x14ac:dyDescent="0.25">
      <c r="K643" s="12"/>
    </row>
    <row r="644" spans="11:11" x14ac:dyDescent="0.25">
      <c r="K644" s="12"/>
    </row>
    <row r="645" spans="11:11" x14ac:dyDescent="0.25">
      <c r="K645" s="12"/>
    </row>
    <row r="646" spans="11:11" x14ac:dyDescent="0.25">
      <c r="K646" s="12"/>
    </row>
    <row r="647" spans="11:11" x14ac:dyDescent="0.25">
      <c r="K647" s="12"/>
    </row>
    <row r="648" spans="11:11" x14ac:dyDescent="0.25">
      <c r="K648" s="12"/>
    </row>
    <row r="649" spans="11:11" x14ac:dyDescent="0.25">
      <c r="K649" s="12"/>
    </row>
    <row r="650" spans="11:11" x14ac:dyDescent="0.25">
      <c r="K650" s="12"/>
    </row>
    <row r="651" spans="11:11" x14ac:dyDescent="0.25">
      <c r="K651" s="12"/>
    </row>
    <row r="652" spans="11:11" x14ac:dyDescent="0.25">
      <c r="K652" s="12"/>
    </row>
    <row r="653" spans="11:11" x14ac:dyDescent="0.25">
      <c r="K653" s="12"/>
    </row>
    <row r="654" spans="11:11" x14ac:dyDescent="0.25">
      <c r="K654" s="12"/>
    </row>
    <row r="655" spans="11:11" x14ac:dyDescent="0.25">
      <c r="K655" s="12"/>
    </row>
    <row r="656" spans="11:11" x14ac:dyDescent="0.25">
      <c r="K656" s="12"/>
    </row>
    <row r="657" spans="11:11" x14ac:dyDescent="0.25">
      <c r="K657" s="12"/>
    </row>
    <row r="658" spans="11:11" x14ac:dyDescent="0.25">
      <c r="K658" s="12"/>
    </row>
    <row r="659" spans="11:11" x14ac:dyDescent="0.25">
      <c r="K659" s="12"/>
    </row>
    <row r="660" spans="11:11" x14ac:dyDescent="0.25">
      <c r="K660" s="12"/>
    </row>
    <row r="661" spans="11:11" x14ac:dyDescent="0.25">
      <c r="K661" s="12"/>
    </row>
    <row r="662" spans="11:11" x14ac:dyDescent="0.25">
      <c r="K662" s="12"/>
    </row>
    <row r="663" spans="11:11" x14ac:dyDescent="0.25">
      <c r="K663" s="12"/>
    </row>
    <row r="664" spans="11:11" x14ac:dyDescent="0.25">
      <c r="K664" s="12"/>
    </row>
    <row r="665" spans="11:11" x14ac:dyDescent="0.25">
      <c r="K665" s="12"/>
    </row>
    <row r="666" spans="11:11" x14ac:dyDescent="0.25">
      <c r="K666" s="12"/>
    </row>
    <row r="667" spans="11:11" x14ac:dyDescent="0.25">
      <c r="K667" s="12"/>
    </row>
    <row r="668" spans="11:11" x14ac:dyDescent="0.25">
      <c r="K668" s="12"/>
    </row>
    <row r="669" spans="11:11" x14ac:dyDescent="0.25">
      <c r="K669" s="12"/>
    </row>
    <row r="670" spans="11:11" x14ac:dyDescent="0.25">
      <c r="K670" s="12"/>
    </row>
    <row r="671" spans="11:11" x14ac:dyDescent="0.25">
      <c r="K671" s="12"/>
    </row>
    <row r="672" spans="11:11" x14ac:dyDescent="0.25">
      <c r="K672" s="12"/>
    </row>
    <row r="673" spans="11:11" x14ac:dyDescent="0.25">
      <c r="K673" s="12"/>
    </row>
    <row r="674" spans="11:11" x14ac:dyDescent="0.25">
      <c r="K674" s="12"/>
    </row>
    <row r="675" spans="11:11" x14ac:dyDescent="0.25">
      <c r="K675" s="12"/>
    </row>
    <row r="676" spans="11:11" x14ac:dyDescent="0.25">
      <c r="K676" s="12"/>
    </row>
    <row r="677" spans="11:11" x14ac:dyDescent="0.25">
      <c r="K677" s="12"/>
    </row>
    <row r="678" spans="11:11" x14ac:dyDescent="0.25">
      <c r="K678" s="12"/>
    </row>
    <row r="679" spans="11:11" x14ac:dyDescent="0.25">
      <c r="K679" s="12"/>
    </row>
    <row r="680" spans="11:11" x14ac:dyDescent="0.25">
      <c r="K680" s="12"/>
    </row>
    <row r="681" spans="11:11" x14ac:dyDescent="0.25">
      <c r="K681" s="12"/>
    </row>
    <row r="682" spans="11:11" x14ac:dyDescent="0.25">
      <c r="K682" s="12"/>
    </row>
    <row r="683" spans="11:11" x14ac:dyDescent="0.25">
      <c r="K683" s="12"/>
    </row>
    <row r="684" spans="11:11" x14ac:dyDescent="0.25">
      <c r="K684" s="12"/>
    </row>
    <row r="685" spans="11:11" x14ac:dyDescent="0.25">
      <c r="K685" s="12"/>
    </row>
    <row r="686" spans="11:11" x14ac:dyDescent="0.25">
      <c r="K686" s="12"/>
    </row>
    <row r="687" spans="11:11" x14ac:dyDescent="0.25">
      <c r="K687" s="12"/>
    </row>
    <row r="688" spans="11:11" x14ac:dyDescent="0.25">
      <c r="K688" s="12"/>
    </row>
    <row r="689" spans="11:11" x14ac:dyDescent="0.25">
      <c r="K689" s="12"/>
    </row>
    <row r="690" spans="11:11" x14ac:dyDescent="0.25">
      <c r="K690" s="12"/>
    </row>
    <row r="691" spans="11:11" x14ac:dyDescent="0.25">
      <c r="K691" s="12"/>
    </row>
    <row r="692" spans="11:11" x14ac:dyDescent="0.25">
      <c r="K692" s="12"/>
    </row>
    <row r="693" spans="11:11" x14ac:dyDescent="0.25">
      <c r="K693" s="12"/>
    </row>
    <row r="694" spans="11:11" x14ac:dyDescent="0.25">
      <c r="K694" s="12"/>
    </row>
    <row r="695" spans="11:11" x14ac:dyDescent="0.25">
      <c r="K695" s="12"/>
    </row>
    <row r="696" spans="11:11" x14ac:dyDescent="0.25">
      <c r="K696" s="12"/>
    </row>
    <row r="697" spans="11:11" x14ac:dyDescent="0.25">
      <c r="K697" s="12"/>
    </row>
    <row r="698" spans="11:11" x14ac:dyDescent="0.25">
      <c r="K698" s="12"/>
    </row>
    <row r="699" spans="11:11" x14ac:dyDescent="0.25">
      <c r="K699" s="12"/>
    </row>
    <row r="700" spans="11:11" x14ac:dyDescent="0.25">
      <c r="K700" s="12"/>
    </row>
    <row r="701" spans="11:11" x14ac:dyDescent="0.25">
      <c r="K701" s="12"/>
    </row>
    <row r="702" spans="11:11" x14ac:dyDescent="0.25">
      <c r="K702" s="12"/>
    </row>
    <row r="703" spans="11:11" x14ac:dyDescent="0.25">
      <c r="K703" s="12"/>
    </row>
    <row r="704" spans="11:11" x14ac:dyDescent="0.25">
      <c r="K704" s="12"/>
    </row>
    <row r="705" spans="11:11" x14ac:dyDescent="0.25">
      <c r="K705" s="12"/>
    </row>
    <row r="706" spans="11:11" x14ac:dyDescent="0.25">
      <c r="K706" s="12"/>
    </row>
    <row r="707" spans="11:11" x14ac:dyDescent="0.25">
      <c r="K707" s="12"/>
    </row>
    <row r="708" spans="11:11" x14ac:dyDescent="0.25">
      <c r="K708" s="12"/>
    </row>
    <row r="709" spans="11:11" x14ac:dyDescent="0.25">
      <c r="K709" s="12"/>
    </row>
    <row r="710" spans="11:11" x14ac:dyDescent="0.25">
      <c r="K710" s="12"/>
    </row>
    <row r="711" spans="11:11" x14ac:dyDescent="0.25">
      <c r="K711" s="12"/>
    </row>
    <row r="712" spans="11:11" x14ac:dyDescent="0.25">
      <c r="K712" s="12"/>
    </row>
    <row r="713" spans="11:11" x14ac:dyDescent="0.25">
      <c r="K713" s="12"/>
    </row>
    <row r="714" spans="11:11" x14ac:dyDescent="0.25">
      <c r="K714" s="12"/>
    </row>
    <row r="715" spans="11:11" x14ac:dyDescent="0.25">
      <c r="K715" s="12"/>
    </row>
    <row r="716" spans="11:11" x14ac:dyDescent="0.25">
      <c r="K716" s="12"/>
    </row>
    <row r="717" spans="11:11" x14ac:dyDescent="0.25">
      <c r="K717" s="12"/>
    </row>
    <row r="718" spans="11:11" x14ac:dyDescent="0.25">
      <c r="K718" s="12"/>
    </row>
    <row r="719" spans="11:11" x14ac:dyDescent="0.25">
      <c r="K719" s="12"/>
    </row>
    <row r="720" spans="11:11" x14ac:dyDescent="0.25">
      <c r="K720" s="12"/>
    </row>
    <row r="721" spans="11:11" x14ac:dyDescent="0.25">
      <c r="K721" s="12"/>
    </row>
    <row r="722" spans="11:11" x14ac:dyDescent="0.25">
      <c r="K722" s="12"/>
    </row>
    <row r="723" spans="11:11" x14ac:dyDescent="0.25">
      <c r="K723" s="12"/>
    </row>
    <row r="724" spans="11:11" x14ac:dyDescent="0.25">
      <c r="K724" s="12"/>
    </row>
    <row r="725" spans="11:11" x14ac:dyDescent="0.25">
      <c r="K725" s="12"/>
    </row>
    <row r="726" spans="11:11" x14ac:dyDescent="0.25">
      <c r="K726" s="12"/>
    </row>
    <row r="727" spans="11:11" x14ac:dyDescent="0.25">
      <c r="K727" s="12"/>
    </row>
    <row r="728" spans="11:11" x14ac:dyDescent="0.25">
      <c r="K728" s="12"/>
    </row>
    <row r="729" spans="11:11" x14ac:dyDescent="0.25">
      <c r="K729" s="12"/>
    </row>
    <row r="730" spans="11:11" x14ac:dyDescent="0.25">
      <c r="K730" s="12"/>
    </row>
    <row r="731" spans="11:11" x14ac:dyDescent="0.25">
      <c r="K731" s="12"/>
    </row>
    <row r="732" spans="11:11" x14ac:dyDescent="0.25">
      <c r="K732" s="12"/>
    </row>
    <row r="733" spans="11:11" x14ac:dyDescent="0.25">
      <c r="K733" s="12"/>
    </row>
    <row r="734" spans="11:11" x14ac:dyDescent="0.25">
      <c r="K734" s="12"/>
    </row>
    <row r="735" spans="11:11" x14ac:dyDescent="0.25">
      <c r="K735" s="12"/>
    </row>
    <row r="736" spans="11:11" x14ac:dyDescent="0.25">
      <c r="K736" s="12"/>
    </row>
    <row r="737" spans="11:11" x14ac:dyDescent="0.25">
      <c r="K737" s="12"/>
    </row>
    <row r="738" spans="11:11" x14ac:dyDescent="0.25">
      <c r="K738" s="12"/>
    </row>
    <row r="739" spans="11:11" x14ac:dyDescent="0.25">
      <c r="K739" s="12"/>
    </row>
    <row r="740" spans="11:11" x14ac:dyDescent="0.25">
      <c r="K740" s="12"/>
    </row>
    <row r="741" spans="11:11" x14ac:dyDescent="0.25">
      <c r="K741" s="12"/>
    </row>
    <row r="742" spans="11:11" x14ac:dyDescent="0.25">
      <c r="K742" s="12"/>
    </row>
    <row r="743" spans="11:11" x14ac:dyDescent="0.25">
      <c r="K743" s="12"/>
    </row>
    <row r="744" spans="11:11" x14ac:dyDescent="0.25">
      <c r="K744" s="12"/>
    </row>
    <row r="745" spans="11:11" x14ac:dyDescent="0.25">
      <c r="K745" s="12"/>
    </row>
    <row r="746" spans="11:11" x14ac:dyDescent="0.25">
      <c r="K746" s="12"/>
    </row>
    <row r="747" spans="11:11" x14ac:dyDescent="0.25">
      <c r="K747" s="12"/>
    </row>
    <row r="748" spans="11:11" x14ac:dyDescent="0.25">
      <c r="K748" s="12"/>
    </row>
    <row r="749" spans="11:11" x14ac:dyDescent="0.25">
      <c r="K749" s="12"/>
    </row>
    <row r="750" spans="11:11" x14ac:dyDescent="0.25">
      <c r="K750" s="12"/>
    </row>
    <row r="751" spans="11:11" x14ac:dyDescent="0.25">
      <c r="K751" s="12"/>
    </row>
    <row r="752" spans="11:11" x14ac:dyDescent="0.25">
      <c r="K752" s="12"/>
    </row>
    <row r="753" spans="11:11" x14ac:dyDescent="0.25">
      <c r="K753" s="12"/>
    </row>
    <row r="754" spans="11:11" x14ac:dyDescent="0.25">
      <c r="K754" s="12"/>
    </row>
    <row r="755" spans="11:11" x14ac:dyDescent="0.25">
      <c r="K755" s="12"/>
    </row>
    <row r="756" spans="11:11" x14ac:dyDescent="0.25">
      <c r="K756" s="12"/>
    </row>
    <row r="757" spans="11:11" x14ac:dyDescent="0.25">
      <c r="K757" s="12"/>
    </row>
    <row r="758" spans="11:11" x14ac:dyDescent="0.25">
      <c r="K758" s="12"/>
    </row>
    <row r="759" spans="11:11" x14ac:dyDescent="0.25">
      <c r="K759" s="12"/>
    </row>
    <row r="760" spans="11:11" x14ac:dyDescent="0.25">
      <c r="K760" s="12"/>
    </row>
    <row r="761" spans="11:11" x14ac:dyDescent="0.25">
      <c r="K761" s="12"/>
    </row>
    <row r="762" spans="11:11" x14ac:dyDescent="0.25">
      <c r="K762" s="12"/>
    </row>
    <row r="763" spans="11:11" x14ac:dyDescent="0.25">
      <c r="K763" s="12"/>
    </row>
    <row r="764" spans="11:11" x14ac:dyDescent="0.25">
      <c r="K764" s="12"/>
    </row>
    <row r="765" spans="11:11" x14ac:dyDescent="0.25">
      <c r="K765" s="12"/>
    </row>
    <row r="766" spans="11:11" x14ac:dyDescent="0.25">
      <c r="K766" s="12"/>
    </row>
    <row r="767" spans="11:11" x14ac:dyDescent="0.25">
      <c r="K767" s="12"/>
    </row>
    <row r="768" spans="11:11" x14ac:dyDescent="0.25">
      <c r="K768" s="12"/>
    </row>
    <row r="769" spans="11:11" x14ac:dyDescent="0.25">
      <c r="K769" s="12"/>
    </row>
    <row r="770" spans="11:11" x14ac:dyDescent="0.25">
      <c r="K770" s="12"/>
    </row>
    <row r="771" spans="11:11" x14ac:dyDescent="0.25">
      <c r="K771" s="12"/>
    </row>
    <row r="772" spans="11:11" x14ac:dyDescent="0.25">
      <c r="K772" s="12"/>
    </row>
    <row r="773" spans="11:11" x14ac:dyDescent="0.25">
      <c r="K773" s="12"/>
    </row>
    <row r="774" spans="11:11" x14ac:dyDescent="0.25">
      <c r="K774" s="12"/>
    </row>
    <row r="775" spans="11:11" x14ac:dyDescent="0.25">
      <c r="K775" s="12"/>
    </row>
    <row r="776" spans="11:11" x14ac:dyDescent="0.25">
      <c r="K776" s="12"/>
    </row>
    <row r="777" spans="11:11" x14ac:dyDescent="0.25">
      <c r="K777" s="12"/>
    </row>
    <row r="778" spans="11:11" x14ac:dyDescent="0.25">
      <c r="K778" s="12"/>
    </row>
    <row r="779" spans="11:11" x14ac:dyDescent="0.25">
      <c r="K779" s="12"/>
    </row>
    <row r="780" spans="11:11" x14ac:dyDescent="0.25">
      <c r="K780" s="12"/>
    </row>
    <row r="781" spans="11:11" x14ac:dyDescent="0.25">
      <c r="K781" s="12"/>
    </row>
    <row r="782" spans="11:11" x14ac:dyDescent="0.25">
      <c r="K782" s="12"/>
    </row>
    <row r="783" spans="11:11" x14ac:dyDescent="0.25">
      <c r="K783" s="12"/>
    </row>
    <row r="784" spans="11:11" x14ac:dyDescent="0.25">
      <c r="K784" s="12"/>
    </row>
    <row r="785" spans="11:11" x14ac:dyDescent="0.25">
      <c r="K785" s="12"/>
    </row>
    <row r="786" spans="11:11" x14ac:dyDescent="0.25">
      <c r="K786" s="12"/>
    </row>
    <row r="787" spans="11:11" x14ac:dyDescent="0.25">
      <c r="K787" s="12"/>
    </row>
    <row r="788" spans="11:11" x14ac:dyDescent="0.25">
      <c r="K788" s="12"/>
    </row>
    <row r="789" spans="11:11" x14ac:dyDescent="0.25">
      <c r="K789" s="12"/>
    </row>
    <row r="790" spans="11:11" x14ac:dyDescent="0.25">
      <c r="K790" s="12"/>
    </row>
    <row r="791" spans="11:11" x14ac:dyDescent="0.25">
      <c r="K791" s="12"/>
    </row>
    <row r="792" spans="11:11" x14ac:dyDescent="0.25">
      <c r="K792" s="12"/>
    </row>
    <row r="793" spans="11:11" x14ac:dyDescent="0.25">
      <c r="K793" s="12"/>
    </row>
    <row r="794" spans="11:11" x14ac:dyDescent="0.25">
      <c r="K794" s="12"/>
    </row>
    <row r="795" spans="11:11" x14ac:dyDescent="0.25">
      <c r="K795" s="12"/>
    </row>
    <row r="796" spans="11:11" x14ac:dyDescent="0.25">
      <c r="K796" s="12"/>
    </row>
    <row r="797" spans="11:11" x14ac:dyDescent="0.25">
      <c r="K797" s="12"/>
    </row>
    <row r="798" spans="11:11" x14ac:dyDescent="0.25">
      <c r="K798" s="12"/>
    </row>
    <row r="799" spans="11:11" x14ac:dyDescent="0.25">
      <c r="K799" s="12"/>
    </row>
    <row r="800" spans="11:11" x14ac:dyDescent="0.25">
      <c r="K800" s="12"/>
    </row>
    <row r="801" spans="11:11" x14ac:dyDescent="0.25">
      <c r="K801" s="12"/>
    </row>
    <row r="802" spans="11:11" x14ac:dyDescent="0.25">
      <c r="K802" s="12"/>
    </row>
    <row r="803" spans="11:11" x14ac:dyDescent="0.25">
      <c r="K803" s="12"/>
    </row>
    <row r="804" spans="11:11" x14ac:dyDescent="0.25">
      <c r="K804" s="12"/>
    </row>
    <row r="805" spans="11:11" x14ac:dyDescent="0.25">
      <c r="K805" s="12"/>
    </row>
    <row r="806" spans="11:11" x14ac:dyDescent="0.25">
      <c r="K806" s="12"/>
    </row>
    <row r="807" spans="11:11" x14ac:dyDescent="0.25">
      <c r="K807" s="12"/>
    </row>
    <row r="808" spans="11:11" x14ac:dyDescent="0.25">
      <c r="K808" s="12"/>
    </row>
    <row r="809" spans="11:11" x14ac:dyDescent="0.25">
      <c r="K809" s="12"/>
    </row>
    <row r="810" spans="11:11" x14ac:dyDescent="0.25">
      <c r="K810" s="12"/>
    </row>
    <row r="811" spans="11:11" x14ac:dyDescent="0.25">
      <c r="K811" s="12"/>
    </row>
    <row r="812" spans="11:11" x14ac:dyDescent="0.25">
      <c r="K812" s="12"/>
    </row>
    <row r="813" spans="11:11" x14ac:dyDescent="0.25">
      <c r="K813" s="12"/>
    </row>
    <row r="814" spans="11:11" x14ac:dyDescent="0.25">
      <c r="K814" s="12"/>
    </row>
    <row r="815" spans="11:11" x14ac:dyDescent="0.25">
      <c r="K815" s="12"/>
    </row>
    <row r="816" spans="11:11" x14ac:dyDescent="0.25">
      <c r="K816" s="12"/>
    </row>
    <row r="817" spans="11:11" x14ac:dyDescent="0.25">
      <c r="K817" s="12"/>
    </row>
    <row r="818" spans="11:11" x14ac:dyDescent="0.25">
      <c r="K818" s="12"/>
    </row>
    <row r="819" spans="11:11" x14ac:dyDescent="0.25">
      <c r="K819" s="12"/>
    </row>
    <row r="820" spans="11:11" x14ac:dyDescent="0.25">
      <c r="K820" s="12"/>
    </row>
    <row r="821" spans="11:11" x14ac:dyDescent="0.25">
      <c r="K821" s="12"/>
    </row>
    <row r="822" spans="11:11" x14ac:dyDescent="0.25">
      <c r="K822" s="12"/>
    </row>
    <row r="823" spans="11:11" x14ac:dyDescent="0.25">
      <c r="K823" s="12"/>
    </row>
    <row r="824" spans="11:11" x14ac:dyDescent="0.25">
      <c r="K824" s="12"/>
    </row>
    <row r="825" spans="11:11" x14ac:dyDescent="0.25">
      <c r="K825" s="12"/>
    </row>
    <row r="826" spans="11:11" x14ac:dyDescent="0.25">
      <c r="K826" s="12"/>
    </row>
    <row r="827" spans="11:11" x14ac:dyDescent="0.25">
      <c r="K827" s="12"/>
    </row>
    <row r="828" spans="11:11" x14ac:dyDescent="0.25">
      <c r="K828" s="12"/>
    </row>
    <row r="829" spans="11:11" x14ac:dyDescent="0.25">
      <c r="K829" s="12"/>
    </row>
    <row r="830" spans="11:11" x14ac:dyDescent="0.25">
      <c r="K830" s="12"/>
    </row>
    <row r="831" spans="11:11" x14ac:dyDescent="0.25">
      <c r="K831" s="12"/>
    </row>
    <row r="832" spans="11:11" x14ac:dyDescent="0.25">
      <c r="K832" s="12"/>
    </row>
  </sheetData>
  <mergeCells count="81">
    <mergeCell ref="L26:M26"/>
    <mergeCell ref="L25:M25"/>
    <mergeCell ref="L20:M20"/>
    <mergeCell ref="L21:M21"/>
    <mergeCell ref="L22:M22"/>
    <mergeCell ref="L23:M23"/>
    <mergeCell ref="L24:M24"/>
    <mergeCell ref="L18:M18"/>
    <mergeCell ref="L8:M8"/>
    <mergeCell ref="L9:M9"/>
    <mergeCell ref="L14:U14"/>
    <mergeCell ref="L15:M17"/>
    <mergeCell ref="N16:O17"/>
    <mergeCell ref="P16:Q17"/>
    <mergeCell ref="R16:S17"/>
    <mergeCell ref="N15:S15"/>
    <mergeCell ref="T15:U15"/>
    <mergeCell ref="T16:U17"/>
    <mergeCell ref="L10:M10"/>
    <mergeCell ref="L6:M6"/>
    <mergeCell ref="R2:S2"/>
    <mergeCell ref="L5:M5"/>
    <mergeCell ref="L4:M4"/>
    <mergeCell ref="L7:M7"/>
    <mergeCell ref="P3:Q3"/>
    <mergeCell ref="L1:V1"/>
    <mergeCell ref="N2:O2"/>
    <mergeCell ref="P2:Q2"/>
    <mergeCell ref="L2:M2"/>
    <mergeCell ref="L3:M3"/>
    <mergeCell ref="T2:U2"/>
    <mergeCell ref="G6:H6"/>
    <mergeCell ref="G7:H7"/>
    <mergeCell ref="G8:H8"/>
    <mergeCell ref="G9:H9"/>
    <mergeCell ref="E3:F3"/>
    <mergeCell ref="E4:F4"/>
    <mergeCell ref="G5:H5"/>
    <mergeCell ref="G4:H4"/>
    <mergeCell ref="E6:F6"/>
    <mergeCell ref="E7:F7"/>
    <mergeCell ref="E8:F8"/>
    <mergeCell ref="E9:F9"/>
    <mergeCell ref="I6:J6"/>
    <mergeCell ref="I7:J7"/>
    <mergeCell ref="I8:J8"/>
    <mergeCell ref="I9:J9"/>
    <mergeCell ref="I10:J10"/>
    <mergeCell ref="E14:G14"/>
    <mergeCell ref="C15:D15"/>
    <mergeCell ref="E15:G15"/>
    <mergeCell ref="G10:H10"/>
    <mergeCell ref="E10:F10"/>
    <mergeCell ref="C14:D14"/>
    <mergeCell ref="A17:B17"/>
    <mergeCell ref="A22:B22"/>
    <mergeCell ref="A18:B18"/>
    <mergeCell ref="A19:B19"/>
    <mergeCell ref="A20:B20"/>
    <mergeCell ref="A21:B21"/>
    <mergeCell ref="A7:B7"/>
    <mergeCell ref="A6:B6"/>
    <mergeCell ref="A4:B4"/>
    <mergeCell ref="A5:B5"/>
    <mergeCell ref="A16:B16"/>
    <mergeCell ref="A8:B8"/>
    <mergeCell ref="A9:B9"/>
    <mergeCell ref="A10:B10"/>
    <mergeCell ref="A14:B14"/>
    <mergeCell ref="A15:B15"/>
    <mergeCell ref="A1:J1"/>
    <mergeCell ref="G2:H2"/>
    <mergeCell ref="G3:H3"/>
    <mergeCell ref="A3:B3"/>
    <mergeCell ref="E5:F5"/>
    <mergeCell ref="A2:B2"/>
    <mergeCell ref="I2:J2"/>
    <mergeCell ref="I3:J3"/>
    <mergeCell ref="I4:J4"/>
    <mergeCell ref="I5:J5"/>
    <mergeCell ref="E2:F2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B1:S45"/>
  <sheetViews>
    <sheetView zoomScale="70" zoomScaleNormal="70" workbookViewId="0">
      <selection activeCell="D24" sqref="D24"/>
    </sheetView>
  </sheetViews>
  <sheetFormatPr defaultRowHeight="15" x14ac:dyDescent="0.25"/>
  <cols>
    <col min="1" max="1" width="7.5703125" customWidth="1"/>
    <col min="2" max="2" width="54.140625" bestFit="1" customWidth="1"/>
    <col min="3" max="3" width="17.140625" bestFit="1" customWidth="1"/>
    <col min="4" max="4" width="13.85546875" bestFit="1" customWidth="1"/>
    <col min="5" max="5" width="17.140625" bestFit="1" customWidth="1"/>
    <col min="6" max="6" width="13.85546875" bestFit="1" customWidth="1"/>
    <col min="7" max="7" width="17.140625" bestFit="1" customWidth="1"/>
    <col min="8" max="8" width="13.85546875" bestFit="1" customWidth="1"/>
    <col min="9" max="9" width="17.140625" bestFit="1" customWidth="1"/>
    <col min="10" max="10" width="16.85546875" bestFit="1" customWidth="1"/>
    <col min="11" max="11" width="17.140625" bestFit="1" customWidth="1"/>
    <col min="12" max="13" width="19.28515625" bestFit="1" customWidth="1"/>
    <col min="14" max="14" width="13.85546875" bestFit="1" customWidth="1"/>
    <col min="16" max="16" width="34.85546875" bestFit="1" customWidth="1"/>
    <col min="17" max="17" width="26.7109375" bestFit="1" customWidth="1"/>
    <col min="19" max="19" width="15.85546875" customWidth="1"/>
  </cols>
  <sheetData>
    <row r="1" spans="2:19" ht="15.75" thickBot="1" x14ac:dyDescent="0.3"/>
    <row r="2" spans="2:19" ht="15.75" thickBot="1" x14ac:dyDescent="0.3">
      <c r="B2" s="153"/>
      <c r="C2" s="241" t="s">
        <v>255</v>
      </c>
      <c r="D2" s="242"/>
      <c r="E2" s="243" t="s">
        <v>256</v>
      </c>
      <c r="F2" s="243"/>
      <c r="G2" s="241" t="s">
        <v>257</v>
      </c>
      <c r="H2" s="242"/>
      <c r="I2" s="243" t="s">
        <v>258</v>
      </c>
      <c r="J2" s="243"/>
      <c r="K2" s="241" t="s">
        <v>259</v>
      </c>
      <c r="L2" s="242"/>
      <c r="M2" s="243" t="s">
        <v>260</v>
      </c>
      <c r="N2" s="246"/>
      <c r="P2" s="129" t="s">
        <v>191</v>
      </c>
      <c r="Q2" s="150" t="s">
        <v>192</v>
      </c>
      <c r="R2" s="245" t="s">
        <v>50</v>
      </c>
      <c r="S2" s="245"/>
    </row>
    <row r="3" spans="2:19" ht="18.75" thickTop="1" thickBot="1" x14ac:dyDescent="0.3">
      <c r="B3" s="151" t="s">
        <v>253</v>
      </c>
      <c r="C3" s="160" t="s">
        <v>266</v>
      </c>
      <c r="D3" s="157" t="s">
        <v>254</v>
      </c>
      <c r="E3" s="152" t="s">
        <v>266</v>
      </c>
      <c r="F3" s="152" t="s">
        <v>254</v>
      </c>
      <c r="G3" s="160" t="s">
        <v>266</v>
      </c>
      <c r="H3" s="157" t="s">
        <v>254</v>
      </c>
      <c r="I3" s="152" t="s">
        <v>266</v>
      </c>
      <c r="J3" s="152" t="s">
        <v>254</v>
      </c>
      <c r="K3" s="160" t="s">
        <v>266</v>
      </c>
      <c r="L3" s="157" t="s">
        <v>254</v>
      </c>
      <c r="M3" s="152" t="s">
        <v>266</v>
      </c>
      <c r="N3" s="154" t="s">
        <v>254</v>
      </c>
      <c r="P3" s="150" t="s">
        <v>193</v>
      </c>
      <c r="Q3" s="148">
        <v>10.93</v>
      </c>
      <c r="R3" s="240">
        <v>6.6999999999999993</v>
      </c>
      <c r="S3" s="240"/>
    </row>
    <row r="4" spans="2:19" ht="16.5" thickTop="1" thickBot="1" x14ac:dyDescent="0.3">
      <c r="B4" s="155" t="s">
        <v>264</v>
      </c>
      <c r="C4" s="161">
        <v>0</v>
      </c>
      <c r="D4" s="158"/>
      <c r="E4" s="26">
        <f>'Carichi unitari  Masse e forze'!C8-'Masse di Piano '!E7-E9</f>
        <v>283.87</v>
      </c>
      <c r="F4" s="26">
        <f>E4*(R3-1.6)</f>
        <v>1447.7369999999999</v>
      </c>
      <c r="G4" s="161">
        <f>'Carichi unitari  Masse e forze'!C7-'Masse di Piano '!G7-G9</f>
        <v>283.87</v>
      </c>
      <c r="H4" s="158">
        <f>F4</f>
        <v>1447.7369999999999</v>
      </c>
      <c r="I4" s="26">
        <f>'Carichi unitari  Masse e forze'!C6-'Masse di Piano '!I7-I9</f>
        <v>283.87</v>
      </c>
      <c r="J4" s="26">
        <f>H4</f>
        <v>1447.7369999999999</v>
      </c>
      <c r="K4" s="161">
        <f>'Carichi unitari  Masse e forze'!C5-'Masse di Piano '!K7-K9</f>
        <v>283.87</v>
      </c>
      <c r="L4" s="158">
        <f>J4</f>
        <v>1447.7369999999999</v>
      </c>
      <c r="M4" s="26">
        <v>0</v>
      </c>
      <c r="N4" s="29"/>
      <c r="P4" s="150" t="s">
        <v>194</v>
      </c>
      <c r="Q4" s="148">
        <v>11.096</v>
      </c>
      <c r="R4" s="240">
        <v>5.12</v>
      </c>
      <c r="S4" s="240"/>
    </row>
    <row r="5" spans="2:19" ht="16.5" thickTop="1" thickBot="1" x14ac:dyDescent="0.3">
      <c r="B5" s="155" t="s">
        <v>262</v>
      </c>
      <c r="C5" s="161">
        <f>'Carichi unitari  Masse e forze'!C9-C9</f>
        <v>283.87</v>
      </c>
      <c r="D5" s="158">
        <f>C5*(R3-1.6)</f>
        <v>1447.7369999999999</v>
      </c>
      <c r="E5" s="26">
        <v>0</v>
      </c>
      <c r="F5" s="26"/>
      <c r="G5" s="161">
        <v>0</v>
      </c>
      <c r="H5" s="158"/>
      <c r="I5" s="26">
        <v>0</v>
      </c>
      <c r="J5" s="26"/>
      <c r="K5" s="161">
        <v>0</v>
      </c>
      <c r="L5" s="158"/>
      <c r="M5" s="26">
        <v>0</v>
      </c>
      <c r="N5" s="29"/>
      <c r="P5" s="150" t="s">
        <v>195</v>
      </c>
      <c r="Q5" s="149">
        <v>12.89</v>
      </c>
      <c r="R5" s="244">
        <v>6.5</v>
      </c>
      <c r="S5" s="244"/>
    </row>
    <row r="6" spans="2:19" ht="16.5" thickTop="1" thickBot="1" x14ac:dyDescent="0.3">
      <c r="B6" s="155" t="s">
        <v>265</v>
      </c>
      <c r="C6" s="161">
        <v>0</v>
      </c>
      <c r="D6" s="158"/>
      <c r="E6" s="26">
        <v>0</v>
      </c>
      <c r="F6" s="26"/>
      <c r="G6" s="161">
        <v>0</v>
      </c>
      <c r="H6" s="158"/>
      <c r="I6" s="26">
        <v>0</v>
      </c>
      <c r="J6" s="26"/>
      <c r="K6" s="161">
        <v>0</v>
      </c>
      <c r="L6" s="158"/>
      <c r="M6" s="26">
        <f>326.2-M9</f>
        <v>310.57</v>
      </c>
      <c r="N6" s="29">
        <f>R18*M6</f>
        <v>1049.8508279999999</v>
      </c>
      <c r="P6" s="150" t="s">
        <v>232</v>
      </c>
      <c r="Q6" s="148">
        <v>5.5926000000000018</v>
      </c>
      <c r="R6" s="240">
        <v>4.3020000000000014</v>
      </c>
      <c r="S6" s="240"/>
    </row>
    <row r="7" spans="2:19" ht="16.5" thickTop="1" thickBot="1" x14ac:dyDescent="0.3">
      <c r="B7" s="155" t="s">
        <v>261</v>
      </c>
      <c r="C7" s="161"/>
      <c r="D7" s="158"/>
      <c r="E7" s="26">
        <f>'Carichi unitari  Masse e forze'!C8-'Carichi unitari  Masse e forze'!C9</f>
        <v>82.62</v>
      </c>
      <c r="F7" s="26">
        <f>E7*R4</f>
        <v>423.01440000000002</v>
      </c>
      <c r="G7" s="161">
        <f t="shared" ref="G7:L7" si="0">E7</f>
        <v>82.62</v>
      </c>
      <c r="H7" s="158">
        <f t="shared" si="0"/>
        <v>423.01440000000002</v>
      </c>
      <c r="I7" s="26">
        <f t="shared" si="0"/>
        <v>82.62</v>
      </c>
      <c r="J7" s="26">
        <f t="shared" si="0"/>
        <v>423.01440000000002</v>
      </c>
      <c r="K7" s="161">
        <f t="shared" si="0"/>
        <v>82.62</v>
      </c>
      <c r="L7" s="158">
        <f t="shared" si="0"/>
        <v>423.01440000000002</v>
      </c>
      <c r="M7" s="26">
        <v>0</v>
      </c>
      <c r="N7" s="29"/>
      <c r="P7" s="150" t="s">
        <v>233</v>
      </c>
      <c r="Q7" s="148">
        <v>4.6176000000000004</v>
      </c>
      <c r="R7" s="240">
        <v>3.552</v>
      </c>
      <c r="S7" s="240"/>
    </row>
    <row r="8" spans="2:19" ht="16.5" thickTop="1" thickBot="1" x14ac:dyDescent="0.3">
      <c r="B8" s="155" t="s">
        <v>263</v>
      </c>
      <c r="C8" s="161">
        <v>0</v>
      </c>
      <c r="D8" s="158"/>
      <c r="E8" s="26">
        <v>0</v>
      </c>
      <c r="F8" s="26"/>
      <c r="G8" s="161">
        <v>0</v>
      </c>
      <c r="H8" s="158"/>
      <c r="I8" s="26">
        <v>0</v>
      </c>
      <c r="J8" s="26"/>
      <c r="K8" s="161">
        <v>0</v>
      </c>
      <c r="L8" s="158"/>
      <c r="M8" s="26">
        <f>'Carichi unitari  Masse e forze'!C4-326.2</f>
        <v>70.900000000000034</v>
      </c>
      <c r="N8" s="29">
        <f>M8*R19</f>
        <v>463.40240000000028</v>
      </c>
      <c r="P8" s="150" t="s">
        <v>234</v>
      </c>
      <c r="Q8" s="148">
        <v>3.6426000000000003</v>
      </c>
      <c r="R8" s="240">
        <v>2.802</v>
      </c>
      <c r="S8" s="240"/>
    </row>
    <row r="9" spans="2:19" ht="16.5" thickTop="1" thickBot="1" x14ac:dyDescent="0.3">
      <c r="B9" s="155" t="s">
        <v>267</v>
      </c>
      <c r="C9" s="161">
        <f>2.3*4.5+2.2*2.4</f>
        <v>15.629999999999999</v>
      </c>
      <c r="D9" s="158">
        <f>R5*C9</f>
        <v>101.595</v>
      </c>
      <c r="E9" s="26">
        <f t="shared" ref="E9:M9" si="1">2.3*4.5+2.2*2.4</f>
        <v>15.629999999999999</v>
      </c>
      <c r="F9" s="26">
        <f>D9</f>
        <v>101.595</v>
      </c>
      <c r="G9" s="161">
        <f t="shared" si="1"/>
        <v>15.629999999999999</v>
      </c>
      <c r="H9" s="158">
        <f>F9</f>
        <v>101.595</v>
      </c>
      <c r="I9" s="26">
        <f t="shared" si="1"/>
        <v>15.629999999999999</v>
      </c>
      <c r="J9" s="26">
        <f>H9</f>
        <v>101.595</v>
      </c>
      <c r="K9" s="161">
        <f t="shared" si="1"/>
        <v>15.629999999999999</v>
      </c>
      <c r="L9" s="158">
        <f>J9</f>
        <v>101.595</v>
      </c>
      <c r="M9" s="26">
        <f t="shared" si="1"/>
        <v>15.629999999999999</v>
      </c>
      <c r="N9" s="29">
        <f>L9</f>
        <v>101.595</v>
      </c>
      <c r="P9" s="150" t="s">
        <v>235</v>
      </c>
      <c r="Q9" s="148">
        <v>2.7378</v>
      </c>
      <c r="R9" s="240">
        <v>2.1059999999999999</v>
      </c>
      <c r="S9" s="240"/>
    </row>
    <row r="10" spans="2:19" ht="16.5" thickTop="1" thickBot="1" x14ac:dyDescent="0.3">
      <c r="B10" s="155" t="s">
        <v>232</v>
      </c>
      <c r="C10" s="161">
        <f>25.9*2+13*2+7.4*2+3*2+9.7*2</f>
        <v>118</v>
      </c>
      <c r="D10" s="158">
        <f>C10*R6</f>
        <v>507.63600000000014</v>
      </c>
      <c r="E10" s="26">
        <f t="shared" ref="E10:M10" si="2">25.9*2+13*2+7.4*2+3*2+9.7*2</f>
        <v>118</v>
      </c>
      <c r="F10" s="26">
        <f>D10</f>
        <v>507.63600000000014</v>
      </c>
      <c r="G10" s="161">
        <f t="shared" si="2"/>
        <v>118</v>
      </c>
      <c r="H10" s="158">
        <f>F10</f>
        <v>507.63600000000014</v>
      </c>
      <c r="I10" s="26">
        <f t="shared" si="2"/>
        <v>118</v>
      </c>
      <c r="J10" s="26"/>
      <c r="K10" s="161">
        <f t="shared" si="2"/>
        <v>118</v>
      </c>
      <c r="L10" s="158"/>
      <c r="M10" s="26">
        <f t="shared" si="2"/>
        <v>118</v>
      </c>
      <c r="N10" s="29"/>
      <c r="P10" s="150" t="s">
        <v>236</v>
      </c>
      <c r="Q10" s="148">
        <v>16.38</v>
      </c>
      <c r="R10" s="240">
        <v>12.6</v>
      </c>
      <c r="S10" s="240"/>
    </row>
    <row r="11" spans="2:19" ht="16.5" thickTop="1" thickBot="1" x14ac:dyDescent="0.3">
      <c r="B11" s="155" t="s">
        <v>233</v>
      </c>
      <c r="C11" s="161">
        <f t="shared" ref="C11:M12" si="3">25.9*2+13*2+7.4*2+3*2+9.7*2</f>
        <v>118</v>
      </c>
      <c r="D11" s="158"/>
      <c r="E11" s="26">
        <f t="shared" si="3"/>
        <v>118</v>
      </c>
      <c r="F11" s="26"/>
      <c r="G11" s="161">
        <f t="shared" si="3"/>
        <v>118</v>
      </c>
      <c r="H11" s="158"/>
      <c r="I11" s="26">
        <f t="shared" si="3"/>
        <v>118</v>
      </c>
      <c r="J11" s="158">
        <f>C11*R7</f>
        <v>419.13600000000002</v>
      </c>
      <c r="K11" s="161">
        <f t="shared" si="3"/>
        <v>118</v>
      </c>
      <c r="L11" s="158">
        <f>J11</f>
        <v>419.13600000000002</v>
      </c>
      <c r="M11" s="26">
        <f t="shared" si="3"/>
        <v>118</v>
      </c>
      <c r="N11" s="29"/>
      <c r="P11" s="150" t="s">
        <v>237</v>
      </c>
      <c r="Q11" s="148">
        <v>15.794999999999998</v>
      </c>
      <c r="R11" s="240">
        <v>12.149999999999999</v>
      </c>
      <c r="S11" s="240"/>
    </row>
    <row r="12" spans="2:19" ht="16.5" thickTop="1" thickBot="1" x14ac:dyDescent="0.3">
      <c r="B12" s="155" t="s">
        <v>234</v>
      </c>
      <c r="C12" s="161">
        <f t="shared" si="3"/>
        <v>118</v>
      </c>
      <c r="D12" s="158"/>
      <c r="E12" s="26">
        <f t="shared" si="3"/>
        <v>118</v>
      </c>
      <c r="F12" s="26"/>
      <c r="G12" s="161">
        <f t="shared" si="3"/>
        <v>118</v>
      </c>
      <c r="H12" s="158"/>
      <c r="I12" s="26">
        <f t="shared" si="3"/>
        <v>118</v>
      </c>
      <c r="J12" s="26"/>
      <c r="K12" s="161">
        <f t="shared" si="3"/>
        <v>118</v>
      </c>
      <c r="L12" s="158"/>
      <c r="M12" s="26">
        <f t="shared" si="3"/>
        <v>118</v>
      </c>
      <c r="N12" s="29">
        <f>C12*R8</f>
        <v>330.63600000000002</v>
      </c>
      <c r="P12" s="150" t="s">
        <v>238</v>
      </c>
      <c r="Q12" s="148">
        <v>18.427499999999998</v>
      </c>
      <c r="R12" s="240">
        <v>14.174999999999999</v>
      </c>
      <c r="S12" s="240"/>
    </row>
    <row r="13" spans="2:19" ht="16.5" thickTop="1" thickBot="1" x14ac:dyDescent="0.3">
      <c r="B13" s="155" t="s">
        <v>235</v>
      </c>
      <c r="C13" s="161">
        <f>7.9*2+4.7*2+9.4*2+2.3</f>
        <v>46.3</v>
      </c>
      <c r="D13" s="158">
        <f>C13*R9</f>
        <v>97.507799999999989</v>
      </c>
      <c r="E13" s="26">
        <f t="shared" ref="E13:M13" si="4">7.9*2+4.7*2+9.4*2+2.3</f>
        <v>46.3</v>
      </c>
      <c r="F13" s="26">
        <f>D13</f>
        <v>97.507799999999989</v>
      </c>
      <c r="G13" s="161">
        <f t="shared" si="4"/>
        <v>46.3</v>
      </c>
      <c r="H13" s="158">
        <f>F13</f>
        <v>97.507799999999989</v>
      </c>
      <c r="I13" s="26">
        <f t="shared" si="4"/>
        <v>46.3</v>
      </c>
      <c r="J13" s="26">
        <f>H13</f>
        <v>97.507799999999989</v>
      </c>
      <c r="K13" s="161">
        <f t="shared" si="4"/>
        <v>46.3</v>
      </c>
      <c r="L13" s="158">
        <f>J13</f>
        <v>97.507799999999989</v>
      </c>
      <c r="M13" s="26">
        <f t="shared" si="4"/>
        <v>46.3</v>
      </c>
      <c r="N13" s="29">
        <f>L13</f>
        <v>97.507799999999989</v>
      </c>
      <c r="P13" s="150" t="s">
        <v>239</v>
      </c>
      <c r="Q13" s="148">
        <v>17.744999999999997</v>
      </c>
      <c r="R13" s="240">
        <v>13.649999999999999</v>
      </c>
      <c r="S13" s="240"/>
    </row>
    <row r="14" spans="2:19" ht="16.5" thickTop="1" thickBot="1" x14ac:dyDescent="0.3">
      <c r="B14" s="155" t="s">
        <v>236</v>
      </c>
      <c r="C14" s="161">
        <v>0</v>
      </c>
      <c r="D14" s="158"/>
      <c r="E14" s="26">
        <v>0</v>
      </c>
      <c r="F14" s="26"/>
      <c r="G14" s="161">
        <v>0</v>
      </c>
      <c r="H14" s="158"/>
      <c r="I14" s="26">
        <v>0</v>
      </c>
      <c r="J14" s="26"/>
      <c r="K14" s="161">
        <v>0</v>
      </c>
      <c r="L14" s="158"/>
      <c r="M14" s="26">
        <v>16</v>
      </c>
      <c r="N14" s="29">
        <f>M14*R10</f>
        <v>201.6</v>
      </c>
      <c r="P14" s="150" t="s">
        <v>240</v>
      </c>
      <c r="Q14" s="148">
        <v>20.279999999999998</v>
      </c>
      <c r="R14" s="240">
        <v>15.599999999999998</v>
      </c>
      <c r="S14" s="240"/>
    </row>
    <row r="15" spans="2:19" ht="16.5" thickTop="1" thickBot="1" x14ac:dyDescent="0.3">
      <c r="B15" s="155" t="s">
        <v>237</v>
      </c>
      <c r="C15" s="161">
        <v>0</v>
      </c>
      <c r="D15" s="158"/>
      <c r="E15" s="26">
        <v>0</v>
      </c>
      <c r="F15" s="26"/>
      <c r="G15" s="161">
        <v>0</v>
      </c>
      <c r="H15" s="158"/>
      <c r="I15" s="26">
        <v>0</v>
      </c>
      <c r="J15" s="26"/>
      <c r="K15" s="161">
        <v>16</v>
      </c>
      <c r="L15" s="158">
        <f>K15*R11</f>
        <v>194.39999999999998</v>
      </c>
      <c r="M15" s="26">
        <v>0</v>
      </c>
      <c r="N15" s="29"/>
      <c r="P15" s="150" t="s">
        <v>241</v>
      </c>
      <c r="Q15" s="148">
        <v>22.619999999999997</v>
      </c>
      <c r="R15" s="240">
        <v>17.399999999999999</v>
      </c>
      <c r="S15" s="240"/>
    </row>
    <row r="16" spans="2:19" ht="16.5" thickTop="1" thickBot="1" x14ac:dyDescent="0.3">
      <c r="B16" s="155" t="s">
        <v>238</v>
      </c>
      <c r="C16" s="161">
        <v>0</v>
      </c>
      <c r="D16" s="158"/>
      <c r="E16" s="26">
        <v>0</v>
      </c>
      <c r="F16" s="26"/>
      <c r="G16" s="161">
        <v>0</v>
      </c>
      <c r="H16" s="158"/>
      <c r="I16" s="26">
        <v>16</v>
      </c>
      <c r="J16" s="26">
        <f>I16*R12</f>
        <v>226.79999999999998</v>
      </c>
      <c r="K16" s="161">
        <v>0</v>
      </c>
      <c r="L16" s="158"/>
      <c r="M16" s="26">
        <v>0</v>
      </c>
      <c r="N16" s="29"/>
      <c r="P16" s="150" t="s">
        <v>206</v>
      </c>
      <c r="Q16" s="148">
        <v>9.152000000000001</v>
      </c>
      <c r="R16" s="244">
        <v>7.0400000000000009</v>
      </c>
      <c r="S16" s="244"/>
    </row>
    <row r="17" spans="2:19" ht="16.5" thickTop="1" thickBot="1" x14ac:dyDescent="0.3">
      <c r="B17" s="155" t="s">
        <v>239</v>
      </c>
      <c r="C17" s="161">
        <v>0</v>
      </c>
      <c r="D17" s="158"/>
      <c r="E17" s="26">
        <v>0</v>
      </c>
      <c r="F17" s="26"/>
      <c r="G17" s="161">
        <v>16</v>
      </c>
      <c r="H17" s="158">
        <f>G17*R13</f>
        <v>218.39999999999998</v>
      </c>
      <c r="I17" s="26">
        <v>0</v>
      </c>
      <c r="J17" s="26"/>
      <c r="K17" s="161">
        <v>0</v>
      </c>
      <c r="L17" s="158"/>
      <c r="M17" s="26">
        <v>0</v>
      </c>
      <c r="N17" s="29"/>
      <c r="P17" s="150" t="s">
        <v>207</v>
      </c>
      <c r="Q17" s="148">
        <v>4.3264000000000005</v>
      </c>
      <c r="R17" s="240">
        <v>3.3280000000000003</v>
      </c>
      <c r="S17" s="240"/>
    </row>
    <row r="18" spans="2:19" ht="16.5" thickTop="1" thickBot="1" x14ac:dyDescent="0.3">
      <c r="B18" s="155" t="s">
        <v>240</v>
      </c>
      <c r="C18" s="161">
        <v>0</v>
      </c>
      <c r="D18" s="158"/>
      <c r="E18" s="26">
        <v>16</v>
      </c>
      <c r="F18" s="26">
        <f>E18*R14</f>
        <v>249.59999999999997</v>
      </c>
      <c r="G18" s="161">
        <v>0</v>
      </c>
      <c r="H18" s="158"/>
      <c r="I18" s="26">
        <v>0</v>
      </c>
      <c r="J18" s="26"/>
      <c r="K18" s="161">
        <v>0</v>
      </c>
      <c r="L18" s="158"/>
      <c r="M18" s="26">
        <v>0</v>
      </c>
      <c r="N18" s="29"/>
      <c r="P18" s="150" t="s">
        <v>70</v>
      </c>
      <c r="Q18" s="148">
        <v>4.9495199999999997</v>
      </c>
      <c r="R18" s="240">
        <v>3.3803999999999998</v>
      </c>
      <c r="S18" s="240"/>
    </row>
    <row r="19" spans="2:19" ht="16.5" thickTop="1" thickBot="1" x14ac:dyDescent="0.3">
      <c r="B19" s="155" t="s">
        <v>241</v>
      </c>
      <c r="C19" s="161">
        <v>16</v>
      </c>
      <c r="D19" s="158">
        <f>C19*R15</f>
        <v>278.39999999999998</v>
      </c>
      <c r="E19" s="26">
        <v>0</v>
      </c>
      <c r="F19" s="26"/>
      <c r="G19" s="161">
        <v>0</v>
      </c>
      <c r="H19" s="158"/>
      <c r="I19" s="26">
        <v>0</v>
      </c>
      <c r="J19" s="26"/>
      <c r="K19" s="161">
        <v>0</v>
      </c>
      <c r="L19" s="158"/>
      <c r="M19" s="26">
        <v>0</v>
      </c>
      <c r="N19" s="29"/>
      <c r="P19" s="150" t="s">
        <v>71</v>
      </c>
      <c r="Q19" s="148">
        <v>8.8568000000000016</v>
      </c>
      <c r="R19" s="240">
        <v>6.5360000000000005</v>
      </c>
      <c r="S19" s="240"/>
    </row>
    <row r="20" spans="2:19" ht="15.75" thickTop="1" x14ac:dyDescent="0.25">
      <c r="B20" s="155" t="s">
        <v>206</v>
      </c>
      <c r="C20" s="161">
        <f>((99.5+99.5)/2)*0.9</f>
        <v>89.55</v>
      </c>
      <c r="D20" s="158">
        <f>C20*R16</f>
        <v>630.43200000000002</v>
      </c>
      <c r="E20" s="26">
        <f t="shared" ref="E20:K20" si="5">((99.5+99.5)/2)*0.9</f>
        <v>89.55</v>
      </c>
      <c r="F20" s="26">
        <f>D20</f>
        <v>630.43200000000002</v>
      </c>
      <c r="G20" s="161">
        <f t="shared" si="5"/>
        <v>89.55</v>
      </c>
      <c r="H20" s="158">
        <f>F20</f>
        <v>630.43200000000002</v>
      </c>
      <c r="I20" s="26">
        <f t="shared" si="5"/>
        <v>89.55</v>
      </c>
      <c r="J20" s="26">
        <f>H20</f>
        <v>630.43200000000002</v>
      </c>
      <c r="K20" s="161">
        <f t="shared" si="5"/>
        <v>89.55</v>
      </c>
      <c r="L20" s="158">
        <f>J20</f>
        <v>630.43200000000002</v>
      </c>
      <c r="M20" s="26">
        <f>(99.5)*0.9</f>
        <v>89.55</v>
      </c>
      <c r="N20" s="29">
        <f>L20</f>
        <v>630.43200000000002</v>
      </c>
    </row>
    <row r="21" spans="2:19" ht="15.75" thickBot="1" x14ac:dyDescent="0.3">
      <c r="B21" s="156" t="s">
        <v>207</v>
      </c>
      <c r="C21" s="162">
        <f>((230.3)/2)*0.9</f>
        <v>103.63500000000001</v>
      </c>
      <c r="D21" s="159">
        <f>C21*$R$17</f>
        <v>344.89728000000002</v>
      </c>
      <c r="E21" s="30">
        <f>C21</f>
        <v>103.63500000000001</v>
      </c>
      <c r="F21" s="30">
        <f>D21</f>
        <v>344.89728000000002</v>
      </c>
      <c r="G21" s="162">
        <f>E21</f>
        <v>103.63500000000001</v>
      </c>
      <c r="H21" s="159">
        <f>F21</f>
        <v>344.89728000000002</v>
      </c>
      <c r="I21" s="30">
        <f>G21</f>
        <v>103.63500000000001</v>
      </c>
      <c r="J21" s="30">
        <f>H21</f>
        <v>344.89728000000002</v>
      </c>
      <c r="K21" s="162">
        <f>I21</f>
        <v>103.63500000000001</v>
      </c>
      <c r="L21" s="159">
        <f>J21</f>
        <v>344.89728000000002</v>
      </c>
      <c r="M21" s="30">
        <f>K21</f>
        <v>103.63500000000001</v>
      </c>
      <c r="N21" s="31">
        <f>L21</f>
        <v>344.89728000000002</v>
      </c>
    </row>
    <row r="22" spans="2:19" ht="15.75" thickBot="1" x14ac:dyDescent="0.3"/>
    <row r="23" spans="2:19" x14ac:dyDescent="0.25">
      <c r="B23" s="163" t="s">
        <v>268</v>
      </c>
      <c r="D23" s="24">
        <f>SUM(D4:D21)</f>
        <v>3408.2050799999997</v>
      </c>
      <c r="E23" s="147"/>
      <c r="F23" s="24">
        <f>SUM(F4:F21)</f>
        <v>3802.4194799999996</v>
      </c>
      <c r="G23" s="147"/>
      <c r="H23" s="24">
        <f>SUM(H4:H21)</f>
        <v>3771.2194799999997</v>
      </c>
      <c r="I23" s="147"/>
      <c r="J23" s="24">
        <f>SUM(J4:J21)</f>
        <v>3691.1194800000003</v>
      </c>
      <c r="K23" s="147"/>
      <c r="L23" s="24">
        <f>SUM(L4:L21)</f>
        <v>3658.7194799999997</v>
      </c>
      <c r="M23" s="147"/>
      <c r="N23" s="24">
        <f>SUM(N4:N21)</f>
        <v>3219.921308</v>
      </c>
    </row>
    <row r="24" spans="2:19" ht="15.75" thickBot="1" x14ac:dyDescent="0.3">
      <c r="B24" s="164" t="s">
        <v>269</v>
      </c>
      <c r="D24" s="24">
        <f>D23/9.81</f>
        <v>347.42151681957182</v>
      </c>
      <c r="E24" s="24"/>
      <c r="F24" s="24">
        <f>F23/9.81</f>
        <v>387.60647094801215</v>
      </c>
      <c r="G24" s="24"/>
      <c r="H24" s="24">
        <f>H23/9.81</f>
        <v>384.42604281345564</v>
      </c>
      <c r="I24" s="24"/>
      <c r="J24" s="24">
        <f>J23/9.81</f>
        <v>376.26090519877675</v>
      </c>
      <c r="K24" s="24"/>
      <c r="L24" s="24">
        <f>L23/9.81</f>
        <v>372.95815290519874</v>
      </c>
      <c r="M24" s="24"/>
      <c r="N24" s="24">
        <f>N23/9.81</f>
        <v>328.2284717635066</v>
      </c>
    </row>
    <row r="28" spans="2:19" ht="15.75" thickBot="1" x14ac:dyDescent="0.3"/>
    <row r="29" spans="2:19" ht="15.75" thickBot="1" x14ac:dyDescent="0.3">
      <c r="C29" s="241" t="s">
        <v>255</v>
      </c>
      <c r="D29" s="242"/>
      <c r="E29" s="243" t="s">
        <v>256</v>
      </c>
      <c r="F29" s="243"/>
      <c r="G29" s="241" t="s">
        <v>257</v>
      </c>
      <c r="H29" s="242"/>
      <c r="I29" s="243" t="s">
        <v>258</v>
      </c>
      <c r="J29" s="243"/>
      <c r="K29" s="241" t="s">
        <v>259</v>
      </c>
      <c r="L29" s="242"/>
      <c r="M29" s="241" t="s">
        <v>260</v>
      </c>
      <c r="N29" s="242"/>
    </row>
    <row r="30" spans="2:19" ht="15.75" thickBot="1" x14ac:dyDescent="0.3">
      <c r="B30" s="165" t="s">
        <v>268</v>
      </c>
      <c r="C30" s="239">
        <f>D23</f>
        <v>3408.2050799999997</v>
      </c>
      <c r="D30" s="238"/>
      <c r="E30" s="237">
        <f t="shared" ref="E30" si="6">F23</f>
        <v>3802.4194799999996</v>
      </c>
      <c r="F30" s="238"/>
      <c r="G30" s="237">
        <f t="shared" ref="G30" si="7">H23</f>
        <v>3771.2194799999997</v>
      </c>
      <c r="H30" s="238"/>
      <c r="I30" s="237">
        <f t="shared" ref="I30" si="8">J23</f>
        <v>3691.1194800000003</v>
      </c>
      <c r="J30" s="238"/>
      <c r="K30" s="237">
        <f t="shared" ref="K30" si="9">L23</f>
        <v>3658.7194799999997</v>
      </c>
      <c r="L30" s="238"/>
      <c r="M30" s="237">
        <f t="shared" ref="M30" si="10">N23</f>
        <v>3219.921308</v>
      </c>
      <c r="N30" s="238"/>
    </row>
    <row r="31" spans="2:19" ht="15.75" thickBot="1" x14ac:dyDescent="0.3">
      <c r="B31" s="166" t="s">
        <v>269</v>
      </c>
      <c r="C31" s="239">
        <f>D24</f>
        <v>347.42151681957182</v>
      </c>
      <c r="D31" s="238"/>
      <c r="E31" s="237">
        <f t="shared" ref="E31" si="11">F24</f>
        <v>387.60647094801215</v>
      </c>
      <c r="F31" s="238"/>
      <c r="G31" s="237">
        <f t="shared" ref="G31" si="12">H24</f>
        <v>384.42604281345564</v>
      </c>
      <c r="H31" s="238"/>
      <c r="I31" s="237">
        <f t="shared" ref="I31" si="13">J24</f>
        <v>376.26090519877675</v>
      </c>
      <c r="J31" s="238"/>
      <c r="K31" s="237">
        <f t="shared" ref="K31" si="14">L24</f>
        <v>372.95815290519874</v>
      </c>
      <c r="L31" s="238"/>
      <c r="M31" s="237">
        <f t="shared" ref="M31" si="15">N24</f>
        <v>328.2284717635066</v>
      </c>
      <c r="N31" s="238"/>
    </row>
    <row r="32" spans="2:19" ht="15.75" thickBot="1" x14ac:dyDescent="0.3">
      <c r="B32" s="167" t="s">
        <v>270</v>
      </c>
      <c r="C32" s="235">
        <f>C5+C9</f>
        <v>299.5</v>
      </c>
      <c r="D32" s="202"/>
      <c r="E32" s="233">
        <f>E4+E7+E9</f>
        <v>382.12</v>
      </c>
      <c r="F32" s="234"/>
      <c r="G32" s="236">
        <f>G4+G7+G9</f>
        <v>382.12</v>
      </c>
      <c r="H32" s="202"/>
      <c r="I32" s="233">
        <f>I4+I7+I9</f>
        <v>382.12</v>
      </c>
      <c r="J32" s="234"/>
      <c r="K32" s="233">
        <f>K4+K7+K9</f>
        <v>382.12</v>
      </c>
      <c r="L32" s="234"/>
      <c r="M32" s="233">
        <f>M6+M8+M9</f>
        <v>397.1</v>
      </c>
      <c r="N32" s="234"/>
    </row>
    <row r="33" spans="2:14" ht="15.75" thickBot="1" x14ac:dyDescent="0.3">
      <c r="B33" s="166" t="s">
        <v>271</v>
      </c>
      <c r="C33" s="235">
        <f>C30/C32</f>
        <v>11.379649682804674</v>
      </c>
      <c r="D33" s="202"/>
      <c r="E33" s="233">
        <f>E30/E32</f>
        <v>9.9508517743117331</v>
      </c>
      <c r="F33" s="234"/>
      <c r="G33" s="233">
        <f>G30/G32</f>
        <v>9.8692020307756714</v>
      </c>
      <c r="H33" s="234"/>
      <c r="I33" s="236">
        <f>I30/I32</f>
        <v>9.6595820161205914</v>
      </c>
      <c r="J33" s="202"/>
      <c r="K33" s="233">
        <f>K30/K32</f>
        <v>9.5747918978331406</v>
      </c>
      <c r="L33" s="234"/>
      <c r="M33" s="233">
        <f>M30/M32</f>
        <v>8.1085905514983629</v>
      </c>
      <c r="N33" s="234"/>
    </row>
    <row r="35" spans="2:14" ht="15.75" thickBot="1" x14ac:dyDescent="0.3"/>
    <row r="36" spans="2:14" ht="30" x14ac:dyDescent="0.25">
      <c r="C36" s="229" t="s">
        <v>0</v>
      </c>
      <c r="D36" s="230"/>
      <c r="E36" s="168" t="s">
        <v>278</v>
      </c>
      <c r="F36" s="169" t="s">
        <v>279</v>
      </c>
      <c r="G36" s="168" t="s">
        <v>272</v>
      </c>
      <c r="H36" s="169" t="s">
        <v>273</v>
      </c>
      <c r="I36" s="168" t="s">
        <v>274</v>
      </c>
      <c r="J36" s="169" t="s">
        <v>275</v>
      </c>
      <c r="K36" s="168" t="s">
        <v>276</v>
      </c>
      <c r="L36" s="170" t="s">
        <v>277</v>
      </c>
    </row>
    <row r="37" spans="2:14" ht="17.25" x14ac:dyDescent="0.25">
      <c r="C37" s="231"/>
      <c r="D37" s="232"/>
      <c r="E37" s="37" t="s">
        <v>13</v>
      </c>
      <c r="F37" s="171" t="s">
        <v>13</v>
      </c>
      <c r="G37" s="37" t="s">
        <v>15</v>
      </c>
      <c r="H37" s="171" t="s">
        <v>15</v>
      </c>
      <c r="I37" s="37" t="s">
        <v>16</v>
      </c>
      <c r="J37" s="171" t="s">
        <v>16</v>
      </c>
      <c r="K37" s="37" t="s">
        <v>26</v>
      </c>
      <c r="L37" s="172" t="s">
        <v>26</v>
      </c>
    </row>
    <row r="38" spans="2:14" x14ac:dyDescent="0.25">
      <c r="C38" s="225" t="s">
        <v>14</v>
      </c>
      <c r="D38" s="226"/>
      <c r="E38" s="37">
        <v>0</v>
      </c>
      <c r="F38" s="171"/>
      <c r="G38" s="37">
        <v>0</v>
      </c>
      <c r="H38" s="171"/>
      <c r="I38" s="37">
        <v>0</v>
      </c>
      <c r="J38" s="171"/>
      <c r="K38" s="173">
        <v>0</v>
      </c>
      <c r="L38" s="172"/>
    </row>
    <row r="39" spans="2:14" x14ac:dyDescent="0.25">
      <c r="C39" s="225" t="s">
        <v>47</v>
      </c>
      <c r="D39" s="226"/>
      <c r="E39" s="173">
        <v>397.1</v>
      </c>
      <c r="F39" s="174">
        <f>M32</f>
        <v>397.1</v>
      </c>
      <c r="G39" s="37">
        <v>12</v>
      </c>
      <c r="H39" s="174">
        <f>M33</f>
        <v>8.1085905514983629</v>
      </c>
      <c r="I39" s="37">
        <f>E39*G39</f>
        <v>4765.2000000000007</v>
      </c>
      <c r="J39" s="174">
        <f>M30</f>
        <v>3219.921308</v>
      </c>
      <c r="K39" s="173">
        <f>I39/9.81</f>
        <v>485.74923547400618</v>
      </c>
      <c r="L39" s="175">
        <f>M31</f>
        <v>328.2284717635066</v>
      </c>
    </row>
    <row r="40" spans="2:14" x14ac:dyDescent="0.25">
      <c r="C40" s="225">
        <v>5</v>
      </c>
      <c r="D40" s="226"/>
      <c r="E40" s="173">
        <v>382.12</v>
      </c>
      <c r="F40" s="174">
        <f>K32</f>
        <v>382.12</v>
      </c>
      <c r="G40" s="37">
        <v>10</v>
      </c>
      <c r="H40" s="174">
        <f>K33</f>
        <v>9.5747918978331406</v>
      </c>
      <c r="I40" s="37">
        <f t="shared" ref="I40:I44" si="16">E40*G40</f>
        <v>3821.2</v>
      </c>
      <c r="J40" s="174">
        <f>K30</f>
        <v>3658.7194799999997</v>
      </c>
      <c r="K40" s="173">
        <f t="shared" ref="K40:K44" si="17">I40/9.81</f>
        <v>389.5208970438328</v>
      </c>
      <c r="L40" s="175">
        <f>K31</f>
        <v>372.95815290519874</v>
      </c>
    </row>
    <row r="41" spans="2:14" x14ac:dyDescent="0.25">
      <c r="C41" s="225">
        <v>4</v>
      </c>
      <c r="D41" s="226"/>
      <c r="E41" s="173">
        <v>382.12</v>
      </c>
      <c r="F41" s="174">
        <f>I32</f>
        <v>382.12</v>
      </c>
      <c r="G41" s="37">
        <v>10</v>
      </c>
      <c r="H41" s="174">
        <f>I33</f>
        <v>9.6595820161205914</v>
      </c>
      <c r="I41" s="37">
        <f t="shared" si="16"/>
        <v>3821.2</v>
      </c>
      <c r="J41" s="174">
        <f>I30</f>
        <v>3691.1194800000003</v>
      </c>
      <c r="K41" s="173">
        <f t="shared" si="17"/>
        <v>389.5208970438328</v>
      </c>
      <c r="L41" s="175">
        <f>I31</f>
        <v>376.26090519877675</v>
      </c>
    </row>
    <row r="42" spans="2:14" x14ac:dyDescent="0.25">
      <c r="C42" s="225">
        <v>3</v>
      </c>
      <c r="D42" s="226"/>
      <c r="E42" s="173">
        <v>382.12</v>
      </c>
      <c r="F42" s="174">
        <f>G32</f>
        <v>382.12</v>
      </c>
      <c r="G42" s="37">
        <v>10</v>
      </c>
      <c r="H42" s="174">
        <f>G33</f>
        <v>9.8692020307756714</v>
      </c>
      <c r="I42" s="37">
        <f t="shared" si="16"/>
        <v>3821.2</v>
      </c>
      <c r="J42" s="174">
        <f>G30</f>
        <v>3771.2194799999997</v>
      </c>
      <c r="K42" s="173">
        <f t="shared" si="17"/>
        <v>389.5208970438328</v>
      </c>
      <c r="L42" s="175">
        <f>G31</f>
        <v>384.42604281345564</v>
      </c>
    </row>
    <row r="43" spans="2:14" x14ac:dyDescent="0.25">
      <c r="C43" s="225">
        <v>2</v>
      </c>
      <c r="D43" s="226"/>
      <c r="E43" s="173">
        <v>382.12</v>
      </c>
      <c r="F43" s="174">
        <f>E32</f>
        <v>382.12</v>
      </c>
      <c r="G43" s="37">
        <v>10</v>
      </c>
      <c r="H43" s="174">
        <f>E33</f>
        <v>9.9508517743117331</v>
      </c>
      <c r="I43" s="37">
        <f t="shared" si="16"/>
        <v>3821.2</v>
      </c>
      <c r="J43" s="174">
        <f>E30</f>
        <v>3802.4194799999996</v>
      </c>
      <c r="K43" s="173">
        <f t="shared" si="17"/>
        <v>389.5208970438328</v>
      </c>
      <c r="L43" s="175">
        <f>E31</f>
        <v>387.60647094801215</v>
      </c>
    </row>
    <row r="44" spans="2:14" x14ac:dyDescent="0.25">
      <c r="C44" s="225">
        <v>1</v>
      </c>
      <c r="D44" s="226"/>
      <c r="E44" s="37">
        <v>299.5</v>
      </c>
      <c r="F44" s="174">
        <f>C32</f>
        <v>299.5</v>
      </c>
      <c r="G44" s="37">
        <v>10</v>
      </c>
      <c r="H44" s="174">
        <f>C33</f>
        <v>11.379649682804674</v>
      </c>
      <c r="I44" s="37">
        <f t="shared" si="16"/>
        <v>2995</v>
      </c>
      <c r="J44" s="174">
        <f>C30</f>
        <v>3408.2050799999997</v>
      </c>
      <c r="K44" s="173">
        <f t="shared" si="17"/>
        <v>305.30071355759429</v>
      </c>
      <c r="L44" s="175">
        <f>C31</f>
        <v>347.42151681957182</v>
      </c>
    </row>
    <row r="45" spans="2:14" ht="15.75" thickBot="1" x14ac:dyDescent="0.3">
      <c r="C45" s="227" t="s">
        <v>23</v>
      </c>
      <c r="D45" s="228"/>
      <c r="E45" s="176">
        <f>SUM(I38:I44)</f>
        <v>23045.000000000004</v>
      </c>
      <c r="F45" s="177">
        <f>SUM(J38:J44)</f>
        <v>21551.604307999998</v>
      </c>
      <c r="G45" s="41"/>
      <c r="H45" s="178"/>
      <c r="I45" s="41"/>
      <c r="J45" s="178"/>
      <c r="K45" s="41"/>
      <c r="L45" s="179"/>
    </row>
  </sheetData>
  <mergeCells count="64">
    <mergeCell ref="M2:N2"/>
    <mergeCell ref="C2:D2"/>
    <mergeCell ref="E2:F2"/>
    <mergeCell ref="G2:H2"/>
    <mergeCell ref="I2:J2"/>
    <mergeCell ref="K2:L2"/>
    <mergeCell ref="R2:S2"/>
    <mergeCell ref="R3:S3"/>
    <mergeCell ref="R4:S4"/>
    <mergeCell ref="R5:S5"/>
    <mergeCell ref="R6:S6"/>
    <mergeCell ref="R7:S7"/>
    <mergeCell ref="R8:S8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  <mergeCell ref="R18:S18"/>
    <mergeCell ref="R19:S19"/>
    <mergeCell ref="C29:D29"/>
    <mergeCell ref="E29:F29"/>
    <mergeCell ref="G29:H29"/>
    <mergeCell ref="I29:J29"/>
    <mergeCell ref="K29:L29"/>
    <mergeCell ref="M29:N29"/>
    <mergeCell ref="C30:D30"/>
    <mergeCell ref="C31:D31"/>
    <mergeCell ref="E30:F30"/>
    <mergeCell ref="G30:H30"/>
    <mergeCell ref="I30:J30"/>
    <mergeCell ref="K30:L30"/>
    <mergeCell ref="M30:N30"/>
    <mergeCell ref="E31:F31"/>
    <mergeCell ref="G31:H31"/>
    <mergeCell ref="I31:J31"/>
    <mergeCell ref="K31:L31"/>
    <mergeCell ref="M31:N31"/>
    <mergeCell ref="M32:N32"/>
    <mergeCell ref="C33:D33"/>
    <mergeCell ref="E33:F33"/>
    <mergeCell ref="G33:H33"/>
    <mergeCell ref="I33:J33"/>
    <mergeCell ref="K33:L33"/>
    <mergeCell ref="M33:N33"/>
    <mergeCell ref="C32:D32"/>
    <mergeCell ref="E32:F32"/>
    <mergeCell ref="G32:H32"/>
    <mergeCell ref="I32:J32"/>
    <mergeCell ref="K32:L32"/>
    <mergeCell ref="C36:D36"/>
    <mergeCell ref="C37:D37"/>
    <mergeCell ref="C38:D38"/>
    <mergeCell ref="C39:D39"/>
    <mergeCell ref="C40:D40"/>
    <mergeCell ref="C44:D44"/>
    <mergeCell ref="C45:D45"/>
    <mergeCell ref="C42:D42"/>
    <mergeCell ref="C43:D43"/>
    <mergeCell ref="C41:D41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W129"/>
  <sheetViews>
    <sheetView zoomScale="60" zoomScaleNormal="60" workbookViewId="0">
      <selection activeCell="L3" sqref="L3"/>
    </sheetView>
  </sheetViews>
  <sheetFormatPr defaultRowHeight="15" x14ac:dyDescent="0.25"/>
  <cols>
    <col min="1" max="1" width="43.28515625" customWidth="1"/>
    <col min="2" max="2" width="38" bestFit="1" customWidth="1"/>
    <col min="3" max="3" width="23.140625" bestFit="1" customWidth="1"/>
    <col min="4" max="4" width="9.85546875" customWidth="1"/>
    <col min="5" max="5" width="2.7109375" customWidth="1"/>
    <col min="6" max="6" width="9.7109375" customWidth="1"/>
    <col min="8" max="8" width="13.28515625" customWidth="1"/>
    <col min="9" max="10" width="12.5703125" customWidth="1"/>
    <col min="11" max="11" width="12.140625" customWidth="1"/>
    <col min="12" max="12" width="14.7109375" customWidth="1"/>
    <col min="13" max="13" width="12.28515625" customWidth="1"/>
    <col min="14" max="14" width="1" customWidth="1"/>
    <col min="15" max="15" width="20.7109375" customWidth="1"/>
    <col min="16" max="16" width="17.7109375" customWidth="1"/>
    <col min="17" max="17" width="20.5703125" customWidth="1"/>
    <col min="18" max="18" width="16.28515625" bestFit="1" customWidth="1"/>
    <col min="19" max="19" width="12" customWidth="1"/>
    <col min="20" max="20" width="12.140625" customWidth="1"/>
    <col min="21" max="21" width="9.5703125" customWidth="1"/>
  </cols>
  <sheetData>
    <row r="1" spans="1:23" ht="19.5" thickBot="1" x14ac:dyDescent="0.3">
      <c r="A1" s="129" t="s">
        <v>191</v>
      </c>
      <c r="B1" s="130" t="s">
        <v>192</v>
      </c>
      <c r="C1" s="245" t="s">
        <v>50</v>
      </c>
      <c r="D1" s="245"/>
      <c r="F1" s="250" t="s">
        <v>227</v>
      </c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  <c r="T1" s="251"/>
      <c r="U1" s="251"/>
      <c r="V1" s="251"/>
      <c r="W1" s="252"/>
    </row>
    <row r="2" spans="1:23" ht="26.25" customHeight="1" thickTop="1" thickBot="1" x14ac:dyDescent="0.3">
      <c r="A2" s="130" t="s">
        <v>193</v>
      </c>
      <c r="B2" s="131">
        <v>10.93</v>
      </c>
      <c r="C2" s="240">
        <v>6.6999999999999993</v>
      </c>
      <c r="D2" s="240"/>
      <c r="F2" s="133" t="s">
        <v>171</v>
      </c>
      <c r="G2" s="134" t="s">
        <v>172</v>
      </c>
      <c r="H2" s="138" t="s">
        <v>230</v>
      </c>
      <c r="I2" s="138" t="s">
        <v>231</v>
      </c>
      <c r="J2" s="138" t="s">
        <v>228</v>
      </c>
      <c r="K2" s="138" t="s">
        <v>229</v>
      </c>
      <c r="L2" s="135" t="s">
        <v>79</v>
      </c>
      <c r="M2" s="136" t="s">
        <v>80</v>
      </c>
      <c r="O2" s="255" t="s">
        <v>226</v>
      </c>
      <c r="P2" s="256"/>
      <c r="Q2" s="256"/>
      <c r="R2" s="256"/>
      <c r="S2" s="256"/>
      <c r="T2" s="256"/>
      <c r="U2" s="256"/>
      <c r="V2" s="256"/>
      <c r="W2" s="256"/>
    </row>
    <row r="3" spans="1:23" ht="46.5" thickTop="1" thickBot="1" x14ac:dyDescent="0.3">
      <c r="A3" s="130" t="s">
        <v>194</v>
      </c>
      <c r="B3" s="131">
        <v>11.096</v>
      </c>
      <c r="C3" s="240">
        <v>5.12</v>
      </c>
      <c r="D3" s="240"/>
      <c r="F3" s="123">
        <v>1</v>
      </c>
      <c r="G3" s="124" t="s">
        <v>212</v>
      </c>
      <c r="H3" s="121">
        <f>5/2</f>
        <v>2.5</v>
      </c>
      <c r="I3" s="121"/>
      <c r="J3" s="121">
        <v>0</v>
      </c>
      <c r="L3" s="24">
        <f>B2*$H$3+B3*$J$3+B5+B15</f>
        <v>42.069600000000001</v>
      </c>
      <c r="M3" s="24">
        <f>C2*$H$3+C3*$J$3+C5+C15</f>
        <v>28.091999999999999</v>
      </c>
      <c r="O3" s="133" t="s">
        <v>172</v>
      </c>
      <c r="P3" s="133" t="s">
        <v>171</v>
      </c>
      <c r="Q3" s="137" t="s">
        <v>208</v>
      </c>
      <c r="R3" s="137" t="s">
        <v>209</v>
      </c>
      <c r="S3" s="137" t="s">
        <v>187</v>
      </c>
      <c r="T3" s="137" t="s">
        <v>188</v>
      </c>
      <c r="U3" s="137" t="s">
        <v>189</v>
      </c>
      <c r="V3" s="128" t="s">
        <v>190</v>
      </c>
    </row>
    <row r="4" spans="1:23" ht="19.5" customHeight="1" thickTop="1" thickBot="1" x14ac:dyDescent="0.3">
      <c r="A4" s="130" t="s">
        <v>195</v>
      </c>
      <c r="B4" s="132">
        <v>12.89</v>
      </c>
      <c r="C4" s="244">
        <v>6.5</v>
      </c>
      <c r="D4" s="244"/>
      <c r="F4" s="123"/>
      <c r="G4" s="124" t="s">
        <v>213</v>
      </c>
      <c r="H4" s="121">
        <f>5/2</f>
        <v>2.5</v>
      </c>
      <c r="I4" s="121"/>
      <c r="J4" s="121">
        <v>0</v>
      </c>
      <c r="K4" s="121"/>
      <c r="L4" s="24">
        <f t="shared" ref="L4:M6" si="0">L3</f>
        <v>42.069600000000001</v>
      </c>
      <c r="M4" s="24">
        <f t="shared" si="0"/>
        <v>28.091999999999999</v>
      </c>
      <c r="O4" s="124" t="s">
        <v>184</v>
      </c>
      <c r="P4" s="125" t="s">
        <v>210</v>
      </c>
      <c r="Q4" s="125">
        <f>((4.55/2)/(COS($V$4))*1.2*B4)+(1.6/2)*B2</f>
        <v>48.625659999999996</v>
      </c>
      <c r="R4" s="125">
        <f>((4.55/2)/(COS($V$4))*1.2*C4)</f>
        <v>20.111000000000001</v>
      </c>
      <c r="S4" s="125">
        <v>3</v>
      </c>
      <c r="T4" s="125">
        <f>(Q4/$S$4)+B8</f>
        <v>18.946353333333331</v>
      </c>
      <c r="U4" s="125">
        <f>(R4/$S$4)+C8</f>
        <v>8.8096666666666668</v>
      </c>
      <c r="V4" s="122">
        <f>ATAN(0.16/0.3)</f>
        <v>0.48995732625372829</v>
      </c>
    </row>
    <row r="5" spans="1:23" ht="18" customHeight="1" thickTop="1" thickBot="1" x14ac:dyDescent="0.3">
      <c r="A5" s="130" t="s">
        <v>232</v>
      </c>
      <c r="B5" s="131">
        <v>5.5926000000000018</v>
      </c>
      <c r="C5" s="240">
        <v>4.3020000000000014</v>
      </c>
      <c r="D5" s="240"/>
      <c r="F5" s="123"/>
      <c r="G5" s="124" t="s">
        <v>214</v>
      </c>
      <c r="H5" s="121">
        <f>5/2</f>
        <v>2.5</v>
      </c>
      <c r="I5" s="121"/>
      <c r="J5" s="121">
        <v>0</v>
      </c>
      <c r="K5" s="121"/>
      <c r="L5" s="24">
        <f t="shared" si="0"/>
        <v>42.069600000000001</v>
      </c>
      <c r="M5" s="24">
        <f t="shared" si="0"/>
        <v>28.091999999999999</v>
      </c>
      <c r="O5" s="124" t="s">
        <v>182</v>
      </c>
      <c r="P5" s="125" t="s">
        <v>211</v>
      </c>
      <c r="Q5" s="125">
        <f>((4.55/2)/(COS($V$4))*1.2*B4)+(1.6/2)*B2</f>
        <v>48.625659999999996</v>
      </c>
      <c r="R5" s="125">
        <f>((4.55/2)/(COS($V$4))*1.2*C4)</f>
        <v>20.111000000000001</v>
      </c>
      <c r="S5" s="125">
        <v>3</v>
      </c>
      <c r="T5" s="125">
        <f>Q5/S5+B5+B15</f>
        <v>30.953153333333333</v>
      </c>
      <c r="U5" s="125">
        <f>R5/T5+C5+C15</f>
        <v>11.991723786892582</v>
      </c>
    </row>
    <row r="6" spans="1:23" ht="16.5" thickTop="1" thickBot="1" x14ac:dyDescent="0.3">
      <c r="A6" s="130" t="s">
        <v>233</v>
      </c>
      <c r="B6" s="131">
        <v>4.6176000000000004</v>
      </c>
      <c r="C6" s="240">
        <v>3.552</v>
      </c>
      <c r="D6" s="240"/>
      <c r="F6" s="123"/>
      <c r="G6" s="124" t="s">
        <v>215</v>
      </c>
      <c r="H6" s="121">
        <f>H5</f>
        <v>2.5</v>
      </c>
      <c r="I6" s="121"/>
      <c r="J6" s="121">
        <v>0</v>
      </c>
      <c r="K6" s="121"/>
      <c r="L6" s="24">
        <f t="shared" si="0"/>
        <v>42.069600000000001</v>
      </c>
      <c r="M6" s="24">
        <f t="shared" si="0"/>
        <v>28.091999999999999</v>
      </c>
      <c r="O6" s="124"/>
      <c r="P6" s="125"/>
      <c r="Q6" s="125"/>
      <c r="R6" s="125"/>
      <c r="S6" s="125"/>
      <c r="T6" s="125"/>
      <c r="U6" s="125"/>
    </row>
    <row r="7" spans="1:23" ht="16.5" thickTop="1" thickBot="1" x14ac:dyDescent="0.3">
      <c r="A7" s="130" t="s">
        <v>234</v>
      </c>
      <c r="B7" s="131">
        <v>3.6426000000000003</v>
      </c>
      <c r="C7" s="240">
        <v>2.802</v>
      </c>
      <c r="D7" s="240"/>
      <c r="F7" s="123"/>
      <c r="G7" s="124" t="s">
        <v>216</v>
      </c>
      <c r="H7" s="121">
        <f>H4</f>
        <v>2.5</v>
      </c>
      <c r="I7" s="121"/>
      <c r="J7" s="121">
        <v>0</v>
      </c>
      <c r="K7" s="121"/>
      <c r="L7" s="24">
        <f>L4</f>
        <v>42.069600000000001</v>
      </c>
      <c r="M7" s="24">
        <f>M4</f>
        <v>28.091999999999999</v>
      </c>
    </row>
    <row r="8" spans="1:23" ht="16.5" thickTop="1" thickBot="1" x14ac:dyDescent="0.3">
      <c r="A8" s="130" t="s">
        <v>235</v>
      </c>
      <c r="B8" s="131">
        <v>2.7378</v>
      </c>
      <c r="C8" s="240">
        <v>2.1059999999999999</v>
      </c>
      <c r="D8" s="240"/>
      <c r="F8" s="123"/>
      <c r="G8" s="124" t="s">
        <v>217</v>
      </c>
      <c r="H8" s="121">
        <f>H3</f>
        <v>2.5</v>
      </c>
      <c r="I8" s="121"/>
      <c r="J8" s="121">
        <v>0</v>
      </c>
      <c r="K8" s="121"/>
      <c r="L8" s="24">
        <f>L3</f>
        <v>42.069600000000001</v>
      </c>
      <c r="M8" s="24">
        <f>M3</f>
        <v>28.091999999999999</v>
      </c>
      <c r="O8" s="247" t="s">
        <v>311</v>
      </c>
      <c r="P8" s="248"/>
      <c r="Q8" s="248"/>
      <c r="R8" s="249"/>
    </row>
    <row r="9" spans="1:23" ht="16.5" thickTop="1" thickBot="1" x14ac:dyDescent="0.3">
      <c r="A9" s="130" t="s">
        <v>236</v>
      </c>
      <c r="B9" s="131">
        <v>16.38</v>
      </c>
      <c r="C9" s="240">
        <v>12.6</v>
      </c>
      <c r="D9" s="240"/>
      <c r="F9" s="123">
        <v>2</v>
      </c>
      <c r="G9" s="124" t="s">
        <v>179</v>
      </c>
      <c r="H9" s="121">
        <f>4.3/2</f>
        <v>2.15</v>
      </c>
      <c r="I9" s="121">
        <f>5/2</f>
        <v>2.5</v>
      </c>
      <c r="J9" s="121"/>
      <c r="K9" s="121"/>
      <c r="L9" s="24">
        <f>B2*$H$9+B2*$I$9+$B$36</f>
        <v>56.417100000000005</v>
      </c>
      <c r="M9" s="24">
        <f>C2*$H$9+C2*$I$9+$B$36</f>
        <v>36.747599999999998</v>
      </c>
      <c r="O9" s="185"/>
      <c r="P9" s="185"/>
      <c r="Q9" s="192" t="s">
        <v>280</v>
      </c>
      <c r="R9" s="193" t="s">
        <v>281</v>
      </c>
      <c r="S9" s="182"/>
    </row>
    <row r="10" spans="1:23" ht="16.5" thickTop="1" thickBot="1" x14ac:dyDescent="0.3">
      <c r="A10" s="130" t="s">
        <v>237</v>
      </c>
      <c r="B10" s="131">
        <v>15.794999999999998</v>
      </c>
      <c r="C10" s="240">
        <v>12.149999999999999</v>
      </c>
      <c r="D10" s="240"/>
      <c r="F10" s="123"/>
      <c r="G10" s="124" t="s">
        <v>180</v>
      </c>
      <c r="H10" s="121">
        <f>4.3/2</f>
        <v>2.15</v>
      </c>
      <c r="I10" s="121">
        <f>5/2</f>
        <v>2.5</v>
      </c>
      <c r="J10" s="121"/>
      <c r="K10" s="121"/>
      <c r="L10" s="24">
        <f>L9</f>
        <v>56.417100000000005</v>
      </c>
      <c r="M10" s="24">
        <f>M9</f>
        <v>36.747599999999998</v>
      </c>
      <c r="O10" s="183" t="s">
        <v>284</v>
      </c>
      <c r="P10" s="183" t="s">
        <v>246</v>
      </c>
      <c r="Q10" s="191">
        <f>B5+B15</f>
        <v>14.744600000000002</v>
      </c>
      <c r="R10" s="191">
        <f>C5+C15</f>
        <v>11.342000000000002</v>
      </c>
      <c r="S10" s="182"/>
    </row>
    <row r="11" spans="1:23" ht="16.5" thickTop="1" thickBot="1" x14ac:dyDescent="0.3">
      <c r="A11" s="130" t="s">
        <v>238</v>
      </c>
      <c r="B11" s="131">
        <v>18.427499999999998</v>
      </c>
      <c r="C11" s="240">
        <v>14.174999999999999</v>
      </c>
      <c r="D11" s="240"/>
      <c r="F11" s="123"/>
      <c r="G11" s="124" t="s">
        <v>218</v>
      </c>
      <c r="H11" s="121">
        <f>4.3/2</f>
        <v>2.15</v>
      </c>
      <c r="I11" s="121">
        <f>5/2</f>
        <v>2.5</v>
      </c>
      <c r="J11" s="121"/>
      <c r="K11" s="121"/>
      <c r="L11" s="24">
        <f>L10</f>
        <v>56.417100000000005</v>
      </c>
      <c r="M11" s="24">
        <f>M10</f>
        <v>36.747599999999998</v>
      </c>
      <c r="O11" s="184" t="s">
        <v>285</v>
      </c>
      <c r="P11" s="190" t="s">
        <v>282</v>
      </c>
      <c r="Q11" s="195">
        <f>Q10</f>
        <v>14.744600000000002</v>
      </c>
      <c r="R11" s="195">
        <f>R10</f>
        <v>11.342000000000002</v>
      </c>
      <c r="S11" s="182"/>
    </row>
    <row r="12" spans="1:23" ht="16.5" thickTop="1" thickBot="1" x14ac:dyDescent="0.3">
      <c r="A12" s="130" t="s">
        <v>239</v>
      </c>
      <c r="B12" s="131">
        <v>17.744999999999997</v>
      </c>
      <c r="C12" s="240">
        <v>13.649999999999999</v>
      </c>
      <c r="D12" s="240"/>
      <c r="F12" s="123"/>
      <c r="G12" s="123" t="s">
        <v>184</v>
      </c>
      <c r="H12" s="121"/>
      <c r="I12" s="121"/>
      <c r="J12" s="121"/>
      <c r="K12" s="122"/>
      <c r="L12" s="24">
        <f>T4</f>
        <v>18.946353333333331</v>
      </c>
      <c r="M12" s="24">
        <f>U4</f>
        <v>8.8096666666666668</v>
      </c>
      <c r="O12" s="185" t="s">
        <v>285</v>
      </c>
      <c r="P12" s="185" t="s">
        <v>283</v>
      </c>
      <c r="Q12" s="196">
        <f>Q11</f>
        <v>14.744600000000002</v>
      </c>
      <c r="R12" s="196">
        <f>R11</f>
        <v>11.342000000000002</v>
      </c>
      <c r="S12" s="182"/>
    </row>
    <row r="13" spans="1:23" ht="16.5" thickTop="1" thickBot="1" x14ac:dyDescent="0.3">
      <c r="A13" s="130" t="s">
        <v>240</v>
      </c>
      <c r="B13" s="131">
        <v>20.279999999999998</v>
      </c>
      <c r="C13" s="240">
        <v>15.599999999999998</v>
      </c>
      <c r="D13" s="240"/>
      <c r="F13" s="123"/>
      <c r="G13" s="124" t="s">
        <v>185</v>
      </c>
      <c r="H13" s="121">
        <f>H11</f>
        <v>2.15</v>
      </c>
      <c r="I13" s="121">
        <f>I11</f>
        <v>2.5</v>
      </c>
      <c r="J13" s="121"/>
      <c r="K13" s="121"/>
      <c r="L13" s="24">
        <f>L11</f>
        <v>56.417100000000005</v>
      </c>
      <c r="M13" s="24">
        <f>M11</f>
        <v>36.747599999999998</v>
      </c>
      <c r="O13" s="184" t="s">
        <v>286</v>
      </c>
      <c r="P13" s="184" t="s">
        <v>287</v>
      </c>
      <c r="Q13" s="195">
        <f>B8</f>
        <v>2.7378</v>
      </c>
      <c r="R13" s="195">
        <f>C8</f>
        <v>2.1059999999999999</v>
      </c>
      <c r="S13" s="182"/>
    </row>
    <row r="14" spans="1:23" ht="16.5" thickTop="1" thickBot="1" x14ac:dyDescent="0.3">
      <c r="A14" s="130" t="s">
        <v>241</v>
      </c>
      <c r="B14" s="131">
        <v>22.619999999999997</v>
      </c>
      <c r="C14" s="240">
        <v>17.399999999999999</v>
      </c>
      <c r="D14" s="240"/>
      <c r="F14" s="123"/>
      <c r="G14" s="124" t="s">
        <v>219</v>
      </c>
      <c r="H14" s="121">
        <f>H10</f>
        <v>2.15</v>
      </c>
      <c r="I14" s="121">
        <f>I10</f>
        <v>2.5</v>
      </c>
      <c r="J14" s="121"/>
      <c r="K14" s="121"/>
      <c r="L14" s="24">
        <f>L10</f>
        <v>56.417100000000005</v>
      </c>
      <c r="M14" s="24">
        <f>M10</f>
        <v>36.747599999999998</v>
      </c>
      <c r="O14" s="186" t="s">
        <v>286</v>
      </c>
      <c r="P14" s="186" t="s">
        <v>288</v>
      </c>
      <c r="Q14" s="197">
        <f>B5</f>
        <v>5.5926000000000018</v>
      </c>
      <c r="R14" s="197">
        <f>C5</f>
        <v>4.3020000000000014</v>
      </c>
      <c r="S14" s="182"/>
    </row>
    <row r="15" spans="1:23" ht="16.5" thickTop="1" thickBot="1" x14ac:dyDescent="0.3">
      <c r="A15" s="130" t="s">
        <v>206</v>
      </c>
      <c r="B15" s="131">
        <v>9.152000000000001</v>
      </c>
      <c r="C15" s="244">
        <v>7.0400000000000009</v>
      </c>
      <c r="D15" s="244"/>
      <c r="F15" s="123"/>
      <c r="G15" s="124" t="s">
        <v>186</v>
      </c>
      <c r="H15" s="121">
        <f>H9</f>
        <v>2.15</v>
      </c>
      <c r="I15" s="121">
        <f>I9</f>
        <v>2.5</v>
      </c>
      <c r="J15" s="121"/>
      <c r="K15" s="121"/>
      <c r="L15" s="24">
        <f>L9</f>
        <v>56.417100000000005</v>
      </c>
      <c r="M15" s="24">
        <f>M9</f>
        <v>36.747599999999998</v>
      </c>
      <c r="O15" s="185" t="s">
        <v>286</v>
      </c>
      <c r="P15" s="185" t="s">
        <v>289</v>
      </c>
      <c r="Q15" s="196">
        <f>Q14</f>
        <v>5.5926000000000018</v>
      </c>
      <c r="R15" s="196">
        <f>R14</f>
        <v>4.3020000000000014</v>
      </c>
      <c r="S15" s="182"/>
    </row>
    <row r="16" spans="1:23" ht="16.5" thickTop="1" thickBot="1" x14ac:dyDescent="0.3">
      <c r="A16" s="130" t="s">
        <v>207</v>
      </c>
      <c r="B16" s="131">
        <v>4.3264000000000005</v>
      </c>
      <c r="C16" s="240">
        <v>3.3280000000000003</v>
      </c>
      <c r="D16" s="240"/>
      <c r="F16" s="123">
        <v>3</v>
      </c>
      <c r="G16" s="124" t="s">
        <v>174</v>
      </c>
      <c r="H16" s="121">
        <f>3/2</f>
        <v>1.5</v>
      </c>
      <c r="I16" s="121">
        <f>4.3/2</f>
        <v>2.15</v>
      </c>
      <c r="J16" s="121"/>
      <c r="K16" s="121"/>
      <c r="L16" s="24">
        <f>B2*$H$47+B2*$I$47+B8</f>
        <v>42.632299999999994</v>
      </c>
      <c r="M16" s="24">
        <f>C2*$H$47+C2*$I$47+C8</f>
        <v>26.561</v>
      </c>
      <c r="O16" s="184" t="s">
        <v>290</v>
      </c>
      <c r="P16" s="184" t="s">
        <v>291</v>
      </c>
      <c r="Q16" s="195">
        <f>Q13</f>
        <v>2.7378</v>
      </c>
      <c r="R16" s="195">
        <f>R13</f>
        <v>2.1059999999999999</v>
      </c>
      <c r="S16" s="182"/>
    </row>
    <row r="17" spans="1:23" ht="16.5" thickTop="1" thickBot="1" x14ac:dyDescent="0.3">
      <c r="A17" s="130" t="s">
        <v>70</v>
      </c>
      <c r="B17" s="131">
        <v>4.9495199999999997</v>
      </c>
      <c r="C17" s="240">
        <v>3.3803999999999998</v>
      </c>
      <c r="D17" s="240"/>
      <c r="F17" s="123"/>
      <c r="G17" s="124" t="s">
        <v>176</v>
      </c>
      <c r="H17" s="121">
        <f>3/2</f>
        <v>1.5</v>
      </c>
      <c r="I17" s="121">
        <f>4.3/2</f>
        <v>2.15</v>
      </c>
      <c r="J17" s="121"/>
      <c r="K17" s="121"/>
      <c r="L17" s="24">
        <f>L16</f>
        <v>42.632299999999994</v>
      </c>
      <c r="M17" s="24">
        <f>M16</f>
        <v>26.561</v>
      </c>
      <c r="O17" s="186" t="s">
        <v>290</v>
      </c>
      <c r="P17" s="186" t="s">
        <v>292</v>
      </c>
      <c r="Q17" s="197">
        <f>Q16</f>
        <v>2.7378</v>
      </c>
      <c r="R17" s="197">
        <f>R16</f>
        <v>2.1059999999999999</v>
      </c>
      <c r="S17" s="182"/>
    </row>
    <row r="18" spans="1:23" ht="16.5" thickTop="1" thickBot="1" x14ac:dyDescent="0.3">
      <c r="A18" s="130" t="s">
        <v>71</v>
      </c>
      <c r="B18" s="131">
        <v>8.8568000000000016</v>
      </c>
      <c r="C18" s="240">
        <v>6.5360000000000005</v>
      </c>
      <c r="D18" s="240"/>
      <c r="F18" s="123"/>
      <c r="G18" s="124" t="s">
        <v>181</v>
      </c>
      <c r="H18" s="121"/>
      <c r="I18" s="121">
        <f>4.3/2</f>
        <v>2.15</v>
      </c>
      <c r="J18" s="121">
        <v>0</v>
      </c>
      <c r="K18" s="121"/>
      <c r="L18" s="24">
        <f>B2*$I$49+B3*$J$18+B5+B15</f>
        <v>38.244100000000003</v>
      </c>
      <c r="M18" s="24">
        <f>C2*$I$49+C3*$J$18+C5+C15</f>
        <v>25.747</v>
      </c>
      <c r="O18" s="185" t="s">
        <v>290</v>
      </c>
      <c r="P18" s="185" t="s">
        <v>293</v>
      </c>
      <c r="Q18" s="196">
        <f>Q10</f>
        <v>14.744600000000002</v>
      </c>
      <c r="R18" s="196">
        <f>R12</f>
        <v>11.342000000000002</v>
      </c>
      <c r="S18" s="182"/>
    </row>
    <row r="19" spans="1:23" ht="15.75" thickTop="1" x14ac:dyDescent="0.25">
      <c r="F19" s="123"/>
      <c r="G19" s="124" t="s">
        <v>182</v>
      </c>
      <c r="H19" s="121"/>
      <c r="I19" s="121"/>
      <c r="J19" s="121"/>
      <c r="K19" s="122"/>
      <c r="L19" s="24">
        <f>T5</f>
        <v>30.953153333333333</v>
      </c>
      <c r="M19" s="24">
        <f>U5</f>
        <v>11.991723786892582</v>
      </c>
      <c r="O19" s="184" t="s">
        <v>294</v>
      </c>
      <c r="P19" s="184" t="s">
        <v>296</v>
      </c>
      <c r="Q19" s="195">
        <f>Q14</f>
        <v>5.5926000000000018</v>
      </c>
      <c r="R19" s="195">
        <f>R14</f>
        <v>4.3020000000000014</v>
      </c>
      <c r="S19" s="182"/>
    </row>
    <row r="20" spans="1:23" x14ac:dyDescent="0.25">
      <c r="F20" s="123"/>
      <c r="G20" s="124" t="s">
        <v>220</v>
      </c>
      <c r="H20" s="121"/>
      <c r="I20" s="121">
        <f>I18</f>
        <v>2.15</v>
      </c>
      <c r="J20" s="121">
        <f>J18</f>
        <v>0</v>
      </c>
      <c r="K20" s="121"/>
      <c r="L20" s="24">
        <f>L18</f>
        <v>38.244100000000003</v>
      </c>
      <c r="M20" s="24">
        <f>M18</f>
        <v>25.747</v>
      </c>
      <c r="O20" s="185" t="s">
        <v>294</v>
      </c>
      <c r="P20" s="185" t="s">
        <v>297</v>
      </c>
      <c r="Q20" s="196">
        <f t="shared" ref="Q20:R22" si="1">Q19</f>
        <v>5.5926000000000018</v>
      </c>
      <c r="R20" s="196">
        <f t="shared" si="1"/>
        <v>4.3020000000000014</v>
      </c>
      <c r="S20" s="182"/>
    </row>
    <row r="21" spans="1:23" x14ac:dyDescent="0.25">
      <c r="F21" s="123"/>
      <c r="G21" s="124" t="s">
        <v>183</v>
      </c>
      <c r="H21" s="121">
        <f>H17</f>
        <v>1.5</v>
      </c>
      <c r="I21" s="121">
        <f>I17</f>
        <v>2.15</v>
      </c>
      <c r="J21" s="121"/>
      <c r="K21" s="121"/>
      <c r="L21" s="24">
        <f>L17</f>
        <v>42.632299999999994</v>
      </c>
      <c r="M21" s="24">
        <f>M17</f>
        <v>26.561</v>
      </c>
      <c r="O21" s="184" t="s">
        <v>295</v>
      </c>
      <c r="P21" s="184" t="s">
        <v>298</v>
      </c>
      <c r="Q21" s="195">
        <f t="shared" si="1"/>
        <v>5.5926000000000018</v>
      </c>
      <c r="R21" s="195">
        <f t="shared" si="1"/>
        <v>4.3020000000000014</v>
      </c>
      <c r="S21" s="182"/>
    </row>
    <row r="22" spans="1:23" x14ac:dyDescent="0.25">
      <c r="F22" s="123"/>
      <c r="G22" s="124" t="s">
        <v>177</v>
      </c>
      <c r="H22" s="121">
        <f>H16</f>
        <v>1.5</v>
      </c>
      <c r="I22" s="121">
        <f>I16</f>
        <v>2.15</v>
      </c>
      <c r="J22" s="121"/>
      <c r="K22" s="121"/>
      <c r="L22" s="24">
        <f>L16</f>
        <v>42.632299999999994</v>
      </c>
      <c r="M22" s="24">
        <f>M16</f>
        <v>26.561</v>
      </c>
      <c r="O22" s="185" t="s">
        <v>295</v>
      </c>
      <c r="P22" s="185" t="s">
        <v>299</v>
      </c>
      <c r="Q22" s="196">
        <f t="shared" si="1"/>
        <v>5.5926000000000018</v>
      </c>
      <c r="R22" s="196">
        <f t="shared" si="1"/>
        <v>4.3020000000000014</v>
      </c>
      <c r="S22" s="182"/>
    </row>
    <row r="23" spans="1:23" x14ac:dyDescent="0.25">
      <c r="F23" s="123">
        <v>4</v>
      </c>
      <c r="G23" s="124" t="s">
        <v>173</v>
      </c>
      <c r="H23" s="121"/>
      <c r="I23" s="121">
        <f>3/2</f>
        <v>1.5</v>
      </c>
      <c r="J23" s="121">
        <v>0</v>
      </c>
      <c r="K23" s="121"/>
      <c r="L23" s="24">
        <f>B2*$I$54+B3*$J$23+B5+B15</f>
        <v>31.139600000000002</v>
      </c>
      <c r="M23" s="24">
        <f>C2*$I$54+C3*$J$23+C5+C15</f>
        <v>21.392000000000003</v>
      </c>
      <c r="O23" s="187" t="s">
        <v>300</v>
      </c>
      <c r="P23" s="184" t="s">
        <v>303</v>
      </c>
      <c r="Q23" s="195">
        <f>Q16</f>
        <v>2.7378</v>
      </c>
      <c r="R23" s="195">
        <f>R16</f>
        <v>2.1059999999999999</v>
      </c>
      <c r="S23" s="182"/>
    </row>
    <row r="24" spans="1:23" x14ac:dyDescent="0.25">
      <c r="F24" s="123"/>
      <c r="G24" s="124" t="s">
        <v>175</v>
      </c>
      <c r="H24" s="121"/>
      <c r="I24" s="121">
        <f>3/2</f>
        <v>1.5</v>
      </c>
      <c r="J24" s="121">
        <v>0</v>
      </c>
      <c r="K24" s="121"/>
      <c r="L24" s="24">
        <f>L23</f>
        <v>31.139600000000002</v>
      </c>
      <c r="M24" s="24">
        <f>M23</f>
        <v>21.392000000000003</v>
      </c>
      <c r="O24" s="188" t="s">
        <v>300</v>
      </c>
      <c r="P24" s="188" t="s">
        <v>304</v>
      </c>
      <c r="Q24" s="197">
        <f>Q23</f>
        <v>2.7378</v>
      </c>
      <c r="R24" s="197">
        <f>R23</f>
        <v>2.1059999999999999</v>
      </c>
      <c r="S24" s="182"/>
    </row>
    <row r="25" spans="1:23" x14ac:dyDescent="0.25">
      <c r="F25" s="123">
        <v>5</v>
      </c>
      <c r="G25" s="124" t="s">
        <v>178</v>
      </c>
      <c r="H25" s="121"/>
      <c r="I25" s="121">
        <f>I24</f>
        <v>1.5</v>
      </c>
      <c r="J25" s="121">
        <v>0</v>
      </c>
      <c r="K25" s="121"/>
      <c r="L25" s="24">
        <f>L24</f>
        <v>31.139600000000002</v>
      </c>
      <c r="M25" s="24">
        <f>M24</f>
        <v>21.392000000000003</v>
      </c>
      <c r="O25" s="189" t="s">
        <v>300</v>
      </c>
      <c r="P25" s="185" t="s">
        <v>305</v>
      </c>
      <c r="Q25" s="196">
        <f>Q18</f>
        <v>14.744600000000002</v>
      </c>
      <c r="R25" s="196">
        <f>R18</f>
        <v>11.342000000000002</v>
      </c>
      <c r="S25" s="182"/>
    </row>
    <row r="26" spans="1:23" x14ac:dyDescent="0.25">
      <c r="F26" s="123"/>
      <c r="G26" s="124" t="s">
        <v>221</v>
      </c>
      <c r="H26" s="121"/>
      <c r="I26" s="121">
        <f>I23</f>
        <v>1.5</v>
      </c>
      <c r="J26" s="121">
        <v>0</v>
      </c>
      <c r="K26" s="121"/>
      <c r="L26" s="24">
        <f>L23</f>
        <v>31.139600000000002</v>
      </c>
      <c r="M26" s="24">
        <f>M23</f>
        <v>21.392000000000003</v>
      </c>
      <c r="O26" s="187" t="s">
        <v>301</v>
      </c>
      <c r="P26" s="184" t="s">
        <v>306</v>
      </c>
      <c r="Q26" s="195">
        <f>Q13</f>
        <v>2.7378</v>
      </c>
      <c r="R26" s="195">
        <f>R13</f>
        <v>2.1059999999999999</v>
      </c>
      <c r="S26" s="182"/>
    </row>
    <row r="27" spans="1:23" x14ac:dyDescent="0.25">
      <c r="F27" s="123">
        <v>6</v>
      </c>
      <c r="G27" s="124" t="s">
        <v>222</v>
      </c>
      <c r="H27" s="121"/>
      <c r="I27" s="121"/>
      <c r="J27" s="121">
        <v>0</v>
      </c>
      <c r="K27" s="121"/>
      <c r="L27" s="24">
        <f>B3*$J$27+B15+B5</f>
        <v>14.744600000000002</v>
      </c>
      <c r="M27" s="24">
        <f>C3*$J$27+C15+C5</f>
        <v>11.342000000000002</v>
      </c>
      <c r="O27" s="188" t="s">
        <v>301</v>
      </c>
      <c r="P27" s="188" t="s">
        <v>307</v>
      </c>
      <c r="Q27" s="197">
        <f>Q14</f>
        <v>5.5926000000000018</v>
      </c>
      <c r="R27" s="197">
        <f>R14</f>
        <v>4.3020000000000014</v>
      </c>
      <c r="S27" s="182"/>
    </row>
    <row r="28" spans="1:23" x14ac:dyDescent="0.25">
      <c r="F28" s="123">
        <v>9</v>
      </c>
      <c r="G28" s="124" t="s">
        <v>223</v>
      </c>
      <c r="H28" s="121"/>
      <c r="I28" s="121">
        <f>3/2</f>
        <v>1.5</v>
      </c>
      <c r="J28" s="121"/>
      <c r="K28" s="121"/>
      <c r="L28" s="24">
        <f>B2*$I$59+B5+B15</f>
        <v>31.139600000000002</v>
      </c>
      <c r="M28" s="24">
        <f>C2*$I$59+C5+C15</f>
        <v>21.392000000000003</v>
      </c>
      <c r="O28" s="189" t="s">
        <v>301</v>
      </c>
      <c r="P28" s="185" t="s">
        <v>308</v>
      </c>
      <c r="Q28" s="196">
        <f>Q27</f>
        <v>5.5926000000000018</v>
      </c>
      <c r="R28" s="196">
        <f>R27</f>
        <v>4.3020000000000014</v>
      </c>
      <c r="S28" s="182"/>
    </row>
    <row r="29" spans="1:23" x14ac:dyDescent="0.25">
      <c r="F29" s="123">
        <v>10</v>
      </c>
      <c r="G29" s="124" t="s">
        <v>224</v>
      </c>
      <c r="H29" s="121">
        <f>I28</f>
        <v>1.5</v>
      </c>
      <c r="I29" s="121"/>
      <c r="J29" s="121"/>
      <c r="K29" s="121"/>
      <c r="L29" s="24">
        <f>L28</f>
        <v>31.139600000000002</v>
      </c>
      <c r="M29" s="24">
        <f>M28</f>
        <v>21.392000000000003</v>
      </c>
      <c r="O29" s="187" t="s">
        <v>302</v>
      </c>
      <c r="P29" s="184" t="s">
        <v>309</v>
      </c>
      <c r="Q29" s="195">
        <f>Q11</f>
        <v>14.744600000000002</v>
      </c>
      <c r="R29" s="195">
        <f>R11</f>
        <v>11.342000000000002</v>
      </c>
      <c r="S29" s="182"/>
    </row>
    <row r="30" spans="1:23" x14ac:dyDescent="0.25">
      <c r="F30" s="123">
        <v>13</v>
      </c>
      <c r="G30" s="124" t="s">
        <v>225</v>
      </c>
      <c r="H30" s="121"/>
      <c r="I30" s="121"/>
      <c r="J30" s="121">
        <v>0</v>
      </c>
      <c r="K30" s="121"/>
      <c r="L30" s="24">
        <f>L27</f>
        <v>14.744600000000002</v>
      </c>
      <c r="M30" s="24">
        <f>M27</f>
        <v>11.342000000000002</v>
      </c>
      <c r="O30" s="189" t="s">
        <v>302</v>
      </c>
      <c r="P30" s="185" t="s">
        <v>310</v>
      </c>
      <c r="Q30" s="196">
        <f>Q12</f>
        <v>14.744600000000002</v>
      </c>
      <c r="R30" s="196">
        <f>R12</f>
        <v>11.342000000000002</v>
      </c>
      <c r="S30" s="182"/>
    </row>
    <row r="31" spans="1:23" ht="15.75" thickBot="1" x14ac:dyDescent="0.3"/>
    <row r="32" spans="1:23" ht="19.5" thickBot="1" x14ac:dyDescent="0.3">
      <c r="A32" s="129" t="s">
        <v>191</v>
      </c>
      <c r="B32" s="130" t="s">
        <v>192</v>
      </c>
      <c r="C32" s="245" t="s">
        <v>50</v>
      </c>
      <c r="D32" s="245"/>
      <c r="F32" s="250" t="s">
        <v>242</v>
      </c>
      <c r="G32" s="251"/>
      <c r="H32" s="251"/>
      <c r="I32" s="251"/>
      <c r="J32" s="251"/>
      <c r="K32" s="251"/>
      <c r="L32" s="251"/>
      <c r="M32" s="251"/>
      <c r="N32" s="251"/>
      <c r="O32" s="251"/>
      <c r="P32" s="251"/>
      <c r="Q32" s="251"/>
      <c r="R32" s="251"/>
      <c r="S32" s="251"/>
      <c r="T32" s="251"/>
      <c r="U32" s="251"/>
      <c r="V32" s="251"/>
      <c r="W32" s="252"/>
    </row>
    <row r="33" spans="1:23" ht="34.5" thickTop="1" thickBot="1" x14ac:dyDescent="0.3">
      <c r="A33" s="130" t="s">
        <v>193</v>
      </c>
      <c r="B33" s="131">
        <v>10.93</v>
      </c>
      <c r="C33" s="240">
        <v>6.6999999999999993</v>
      </c>
      <c r="D33" s="240"/>
      <c r="F33" s="133" t="s">
        <v>171</v>
      </c>
      <c r="G33" s="134" t="s">
        <v>172</v>
      </c>
      <c r="H33" s="138" t="s">
        <v>230</v>
      </c>
      <c r="I33" s="138" t="s">
        <v>231</v>
      </c>
      <c r="J33" s="138" t="s">
        <v>228</v>
      </c>
      <c r="K33" s="138" t="s">
        <v>229</v>
      </c>
      <c r="L33" s="135" t="s">
        <v>79</v>
      </c>
      <c r="M33" s="136" t="s">
        <v>80</v>
      </c>
      <c r="O33" s="253" t="s">
        <v>226</v>
      </c>
      <c r="P33" s="254"/>
      <c r="Q33" s="254"/>
      <c r="R33" s="254"/>
      <c r="S33" s="254"/>
      <c r="T33" s="254"/>
      <c r="U33" s="254"/>
      <c r="V33" s="254"/>
      <c r="W33" s="254"/>
    </row>
    <row r="34" spans="1:23" ht="46.5" thickTop="1" thickBot="1" x14ac:dyDescent="0.3">
      <c r="A34" s="130" t="s">
        <v>194</v>
      </c>
      <c r="B34" s="131">
        <v>11.096</v>
      </c>
      <c r="C34" s="240">
        <v>5.12</v>
      </c>
      <c r="D34" s="240"/>
      <c r="F34" s="123">
        <v>1</v>
      </c>
      <c r="G34" s="124" t="s">
        <v>212</v>
      </c>
      <c r="H34" s="121">
        <f>5/2</f>
        <v>2.5</v>
      </c>
      <c r="I34" s="121"/>
      <c r="J34" s="121">
        <v>1.2</v>
      </c>
      <c r="L34" s="24">
        <f>B33*$H$34+B34*$J$34+B36+B46</f>
        <v>55.384800000000006</v>
      </c>
      <c r="M34" s="24">
        <f>C33*$H$34+C34*$J$34+C36+C46</f>
        <v>34.235999999999997</v>
      </c>
      <c r="O34" s="133" t="s">
        <v>172</v>
      </c>
      <c r="P34" s="133" t="s">
        <v>171</v>
      </c>
      <c r="Q34" s="137" t="s">
        <v>208</v>
      </c>
      <c r="R34" s="137" t="s">
        <v>209</v>
      </c>
      <c r="S34" s="137" t="s">
        <v>187</v>
      </c>
      <c r="T34" s="137" t="s">
        <v>188</v>
      </c>
      <c r="U34" s="137" t="s">
        <v>189</v>
      </c>
      <c r="V34" s="128" t="s">
        <v>190</v>
      </c>
    </row>
    <row r="35" spans="1:23" ht="16.5" thickTop="1" thickBot="1" x14ac:dyDescent="0.3">
      <c r="A35" s="130" t="s">
        <v>195</v>
      </c>
      <c r="B35" s="132">
        <v>12.89</v>
      </c>
      <c r="C35" s="244">
        <v>6.5</v>
      </c>
      <c r="D35" s="244"/>
      <c r="F35" s="123"/>
      <c r="G35" s="124" t="s">
        <v>213</v>
      </c>
      <c r="H35" s="121">
        <f>5/2</f>
        <v>2.5</v>
      </c>
      <c r="I35" s="121"/>
      <c r="J35" s="121">
        <v>1.2</v>
      </c>
      <c r="K35" s="121"/>
      <c r="L35" s="24">
        <f t="shared" ref="L35:M37" si="2">L34</f>
        <v>55.384800000000006</v>
      </c>
      <c r="M35" s="24">
        <f t="shared" si="2"/>
        <v>34.235999999999997</v>
      </c>
      <c r="O35" s="124" t="s">
        <v>184</v>
      </c>
      <c r="P35" s="125" t="s">
        <v>210</v>
      </c>
      <c r="Q35" s="125">
        <f>Q4</f>
        <v>48.625659999999996</v>
      </c>
      <c r="R35" s="125">
        <f t="shared" ref="R35:U35" si="3">R4</f>
        <v>20.111000000000001</v>
      </c>
      <c r="S35" s="125">
        <f t="shared" si="3"/>
        <v>3</v>
      </c>
      <c r="T35" s="125">
        <f t="shared" si="3"/>
        <v>18.946353333333331</v>
      </c>
      <c r="U35" s="125">
        <f t="shared" si="3"/>
        <v>8.8096666666666668</v>
      </c>
      <c r="V35" s="122">
        <f>ATAN(0.16/0.3)</f>
        <v>0.48995732625372829</v>
      </c>
    </row>
    <row r="36" spans="1:23" ht="16.5" thickTop="1" thickBot="1" x14ac:dyDescent="0.3">
      <c r="A36" s="130" t="s">
        <v>196</v>
      </c>
      <c r="B36" s="131">
        <v>5.5926000000000018</v>
      </c>
      <c r="C36" s="240">
        <v>4.3020000000000014</v>
      </c>
      <c r="D36" s="240"/>
      <c r="F36" s="123"/>
      <c r="G36" s="124" t="s">
        <v>214</v>
      </c>
      <c r="H36" s="121">
        <f>5/2</f>
        <v>2.5</v>
      </c>
      <c r="I36" s="121"/>
      <c r="J36" s="121">
        <v>1.2</v>
      </c>
      <c r="K36" s="121"/>
      <c r="L36" s="24">
        <f t="shared" si="2"/>
        <v>55.384800000000006</v>
      </c>
      <c r="M36" s="24">
        <f t="shared" si="2"/>
        <v>34.235999999999997</v>
      </c>
      <c r="O36" s="124" t="s">
        <v>182</v>
      </c>
      <c r="P36" s="125" t="s">
        <v>211</v>
      </c>
      <c r="Q36" s="125">
        <f>Q5</f>
        <v>48.625659999999996</v>
      </c>
      <c r="R36" s="125">
        <f t="shared" ref="R36:U36" si="4">R5</f>
        <v>20.111000000000001</v>
      </c>
      <c r="S36" s="125">
        <f t="shared" si="4"/>
        <v>3</v>
      </c>
      <c r="T36" s="125">
        <f t="shared" si="4"/>
        <v>30.953153333333333</v>
      </c>
      <c r="U36" s="125">
        <f t="shared" si="4"/>
        <v>11.991723786892582</v>
      </c>
    </row>
    <row r="37" spans="1:23" ht="16.5" thickTop="1" thickBot="1" x14ac:dyDescent="0.3">
      <c r="A37" s="130" t="s">
        <v>197</v>
      </c>
      <c r="B37" s="131">
        <v>4.6176000000000004</v>
      </c>
      <c r="C37" s="240">
        <v>3.552</v>
      </c>
      <c r="D37" s="240"/>
      <c r="F37" s="123"/>
      <c r="G37" s="124" t="s">
        <v>215</v>
      </c>
      <c r="H37" s="121">
        <f>H36</f>
        <v>2.5</v>
      </c>
      <c r="I37" s="121"/>
      <c r="J37" s="121">
        <f>J36</f>
        <v>1.2</v>
      </c>
      <c r="K37" s="121"/>
      <c r="L37" s="24">
        <f t="shared" si="2"/>
        <v>55.384800000000006</v>
      </c>
      <c r="M37" s="24">
        <f t="shared" si="2"/>
        <v>34.235999999999997</v>
      </c>
      <c r="O37" s="124"/>
      <c r="P37" s="125"/>
      <c r="Q37" s="125"/>
      <c r="R37" s="125"/>
      <c r="S37" s="125"/>
      <c r="T37" s="125"/>
      <c r="U37" s="125"/>
    </row>
    <row r="38" spans="1:23" ht="16.5" thickTop="1" thickBot="1" x14ac:dyDescent="0.3">
      <c r="A38" s="130" t="s">
        <v>198</v>
      </c>
      <c r="B38" s="131">
        <v>3.6426000000000003</v>
      </c>
      <c r="C38" s="240">
        <v>2.802</v>
      </c>
      <c r="D38" s="240"/>
      <c r="F38" s="123"/>
      <c r="G38" s="124" t="s">
        <v>216</v>
      </c>
      <c r="H38" s="121">
        <f>H35</f>
        <v>2.5</v>
      </c>
      <c r="I38" s="121"/>
      <c r="J38" s="121">
        <f>J35</f>
        <v>1.2</v>
      </c>
      <c r="K38" s="121"/>
      <c r="L38" s="24">
        <f>L35</f>
        <v>55.384800000000006</v>
      </c>
      <c r="M38" s="24">
        <f>M35</f>
        <v>34.235999999999997</v>
      </c>
    </row>
    <row r="39" spans="1:23" ht="16.5" thickTop="1" thickBot="1" x14ac:dyDescent="0.3">
      <c r="A39" s="130" t="s">
        <v>199</v>
      </c>
      <c r="B39" s="131">
        <v>2.7378</v>
      </c>
      <c r="C39" s="240">
        <v>2.1059999999999999</v>
      </c>
      <c r="D39" s="240"/>
      <c r="F39" s="123"/>
      <c r="G39" s="124" t="s">
        <v>217</v>
      </c>
      <c r="H39" s="121">
        <f>H34</f>
        <v>2.5</v>
      </c>
      <c r="I39" s="121"/>
      <c r="J39" s="121">
        <f>J34</f>
        <v>1.2</v>
      </c>
      <c r="K39" s="121"/>
      <c r="L39" s="24">
        <f>L34</f>
        <v>55.384800000000006</v>
      </c>
      <c r="M39" s="24">
        <f>M34</f>
        <v>34.235999999999997</v>
      </c>
      <c r="O39" s="247" t="s">
        <v>311</v>
      </c>
      <c r="P39" s="248"/>
      <c r="Q39" s="248"/>
      <c r="R39" s="249"/>
    </row>
    <row r="40" spans="1:23" ht="16.5" thickTop="1" thickBot="1" x14ac:dyDescent="0.3">
      <c r="A40" s="130" t="s">
        <v>200</v>
      </c>
      <c r="B40" s="131">
        <v>16.38</v>
      </c>
      <c r="C40" s="240">
        <v>12.6</v>
      </c>
      <c r="D40" s="240"/>
      <c r="F40" s="123">
        <v>2</v>
      </c>
      <c r="G40" s="124" t="s">
        <v>179</v>
      </c>
      <c r="H40" s="121">
        <f>4.3/2</f>
        <v>2.15</v>
      </c>
      <c r="I40" s="121">
        <f>5/2</f>
        <v>2.5</v>
      </c>
      <c r="J40" s="121"/>
      <c r="K40" s="121"/>
      <c r="L40" s="24">
        <f>B33*$H$40+B33*$I$40+$B$36</f>
        <v>56.417100000000005</v>
      </c>
      <c r="M40" s="24">
        <f>C33*$H$40+C33*$I$40+C36</f>
        <v>35.457000000000001</v>
      </c>
      <c r="O40" s="185"/>
      <c r="P40" s="185"/>
      <c r="Q40" s="192" t="s">
        <v>280</v>
      </c>
      <c r="R40" s="194" t="s">
        <v>281</v>
      </c>
    </row>
    <row r="41" spans="1:23" ht="16.5" thickTop="1" thickBot="1" x14ac:dyDescent="0.3">
      <c r="A41" s="130" t="s">
        <v>201</v>
      </c>
      <c r="B41" s="131">
        <v>15.794999999999998</v>
      </c>
      <c r="C41" s="240">
        <v>12.149999999999999</v>
      </c>
      <c r="D41" s="240"/>
      <c r="F41" s="123"/>
      <c r="G41" s="124" t="s">
        <v>180</v>
      </c>
      <c r="H41" s="121">
        <f>4.3/2</f>
        <v>2.15</v>
      </c>
      <c r="I41" s="121">
        <f>5/2</f>
        <v>2.5</v>
      </c>
      <c r="J41" s="121"/>
      <c r="K41" s="121"/>
      <c r="L41" s="24">
        <f>L40</f>
        <v>56.417100000000005</v>
      </c>
      <c r="M41" s="24">
        <f>M40</f>
        <v>35.457000000000001</v>
      </c>
      <c r="O41" s="183" t="s">
        <v>284</v>
      </c>
      <c r="P41" s="183" t="s">
        <v>246</v>
      </c>
      <c r="Q41" s="191">
        <f>B36+B46</f>
        <v>14.744600000000002</v>
      </c>
      <c r="R41" s="125">
        <f>C36+C46</f>
        <v>11.342000000000002</v>
      </c>
    </row>
    <row r="42" spans="1:23" ht="16.5" thickTop="1" thickBot="1" x14ac:dyDescent="0.3">
      <c r="A42" s="130" t="s">
        <v>202</v>
      </c>
      <c r="B42" s="131">
        <v>18.427499999999998</v>
      </c>
      <c r="C42" s="240">
        <v>14.174999999999999</v>
      </c>
      <c r="D42" s="240"/>
      <c r="F42" s="123"/>
      <c r="G42" s="124" t="s">
        <v>218</v>
      </c>
      <c r="H42" s="121">
        <f>4.3/2</f>
        <v>2.15</v>
      </c>
      <c r="I42" s="121">
        <f>5/2</f>
        <v>2.5</v>
      </c>
      <c r="J42" s="121"/>
      <c r="K42" s="121"/>
      <c r="L42" s="24">
        <f>L41</f>
        <v>56.417100000000005</v>
      </c>
      <c r="M42" s="24">
        <f>M41</f>
        <v>35.457000000000001</v>
      </c>
      <c r="O42" s="184" t="s">
        <v>285</v>
      </c>
      <c r="P42" s="190" t="s">
        <v>282</v>
      </c>
      <c r="Q42" s="195">
        <f>Q41</f>
        <v>14.744600000000002</v>
      </c>
      <c r="R42" s="198">
        <f>R41</f>
        <v>11.342000000000002</v>
      </c>
    </row>
    <row r="43" spans="1:23" ht="16.5" thickTop="1" thickBot="1" x14ac:dyDescent="0.3">
      <c r="A43" s="130" t="s">
        <v>203</v>
      </c>
      <c r="B43" s="131">
        <v>17.744999999999997</v>
      </c>
      <c r="C43" s="240">
        <v>13.649999999999999</v>
      </c>
      <c r="D43" s="240"/>
      <c r="F43" s="123"/>
      <c r="G43" s="123" t="s">
        <v>184</v>
      </c>
      <c r="H43" s="121"/>
      <c r="I43" s="121"/>
      <c r="J43" s="121"/>
      <c r="K43" s="122"/>
      <c r="L43" s="24">
        <f>T35</f>
        <v>18.946353333333331</v>
      </c>
      <c r="M43" s="24">
        <f>U35</f>
        <v>8.8096666666666668</v>
      </c>
      <c r="O43" s="185" t="s">
        <v>285</v>
      </c>
      <c r="P43" s="185" t="s">
        <v>283</v>
      </c>
      <c r="Q43" s="196">
        <f>Q42</f>
        <v>14.744600000000002</v>
      </c>
      <c r="R43" s="199">
        <f>R42</f>
        <v>11.342000000000002</v>
      </c>
    </row>
    <row r="44" spans="1:23" ht="16.5" thickTop="1" thickBot="1" x14ac:dyDescent="0.3">
      <c r="A44" s="130" t="s">
        <v>204</v>
      </c>
      <c r="B44" s="131">
        <v>20.279999999999998</v>
      </c>
      <c r="C44" s="240">
        <v>15.599999999999998</v>
      </c>
      <c r="D44" s="240"/>
      <c r="F44" s="123"/>
      <c r="G44" s="124" t="s">
        <v>185</v>
      </c>
      <c r="H44" s="121">
        <f>H42</f>
        <v>2.15</v>
      </c>
      <c r="I44" s="121">
        <f>I42</f>
        <v>2.5</v>
      </c>
      <c r="J44" s="121"/>
      <c r="K44" s="121"/>
      <c r="L44" s="24">
        <f>L42</f>
        <v>56.417100000000005</v>
      </c>
      <c r="M44" s="24">
        <f>M42</f>
        <v>35.457000000000001</v>
      </c>
      <c r="O44" s="184" t="s">
        <v>286</v>
      </c>
      <c r="P44" s="184" t="s">
        <v>287</v>
      </c>
      <c r="Q44" s="195">
        <f>B39</f>
        <v>2.7378</v>
      </c>
      <c r="R44" s="198">
        <f>C39</f>
        <v>2.1059999999999999</v>
      </c>
    </row>
    <row r="45" spans="1:23" ht="16.5" thickTop="1" thickBot="1" x14ac:dyDescent="0.3">
      <c r="A45" s="130" t="s">
        <v>205</v>
      </c>
      <c r="B45" s="131">
        <v>22.619999999999997</v>
      </c>
      <c r="C45" s="240">
        <v>17.399999999999999</v>
      </c>
      <c r="D45" s="240"/>
      <c r="F45" s="123"/>
      <c r="G45" s="124" t="s">
        <v>219</v>
      </c>
      <c r="H45" s="121">
        <f>H41</f>
        <v>2.15</v>
      </c>
      <c r="I45" s="121">
        <f>I41</f>
        <v>2.5</v>
      </c>
      <c r="J45" s="121"/>
      <c r="K45" s="121"/>
      <c r="L45" s="24">
        <f>L41</f>
        <v>56.417100000000005</v>
      </c>
      <c r="M45" s="24">
        <f>M41</f>
        <v>35.457000000000001</v>
      </c>
      <c r="O45" s="186" t="s">
        <v>286</v>
      </c>
      <c r="P45" s="186" t="s">
        <v>288</v>
      </c>
      <c r="Q45" s="197">
        <f>B36</f>
        <v>5.5926000000000018</v>
      </c>
      <c r="R45" s="200">
        <f>C36</f>
        <v>4.3020000000000014</v>
      </c>
    </row>
    <row r="46" spans="1:23" ht="16.5" thickTop="1" thickBot="1" x14ac:dyDescent="0.3">
      <c r="A46" s="130" t="s">
        <v>206</v>
      </c>
      <c r="B46" s="131">
        <v>9.152000000000001</v>
      </c>
      <c r="C46" s="244">
        <v>7.0400000000000009</v>
      </c>
      <c r="D46" s="244"/>
      <c r="F46" s="123"/>
      <c r="G46" s="124" t="s">
        <v>186</v>
      </c>
      <c r="H46" s="121">
        <f>H40</f>
        <v>2.15</v>
      </c>
      <c r="I46" s="121">
        <f>I40</f>
        <v>2.5</v>
      </c>
      <c r="J46" s="121"/>
      <c r="K46" s="121"/>
      <c r="L46" s="24">
        <f>L40</f>
        <v>56.417100000000005</v>
      </c>
      <c r="M46" s="24">
        <f>M40</f>
        <v>35.457000000000001</v>
      </c>
      <c r="O46" s="185" t="s">
        <v>286</v>
      </c>
      <c r="P46" s="185" t="s">
        <v>289</v>
      </c>
      <c r="Q46" s="196">
        <f>Q45</f>
        <v>5.5926000000000018</v>
      </c>
      <c r="R46" s="199">
        <f>R45</f>
        <v>4.3020000000000014</v>
      </c>
    </row>
    <row r="47" spans="1:23" ht="16.5" thickTop="1" thickBot="1" x14ac:dyDescent="0.3">
      <c r="A47" s="130" t="s">
        <v>207</v>
      </c>
      <c r="B47" s="131">
        <v>4.3264000000000005</v>
      </c>
      <c r="C47" s="240">
        <v>3.3280000000000003</v>
      </c>
      <c r="D47" s="240"/>
      <c r="F47" s="123">
        <v>3</v>
      </c>
      <c r="G47" s="124" t="s">
        <v>174</v>
      </c>
      <c r="H47" s="121">
        <f>3/2</f>
        <v>1.5</v>
      </c>
      <c r="I47" s="121">
        <f>4.3/2</f>
        <v>2.15</v>
      </c>
      <c r="J47" s="121"/>
      <c r="K47" s="121"/>
      <c r="L47" s="24">
        <f>B33*$H$47+B33*$I$47+B39</f>
        <v>42.632299999999994</v>
      </c>
      <c r="M47" s="24">
        <f>C33*$H$47+C33*$I$47+C39</f>
        <v>26.561</v>
      </c>
      <c r="O47" s="184" t="s">
        <v>290</v>
      </c>
      <c r="P47" s="184" t="s">
        <v>291</v>
      </c>
      <c r="Q47" s="195">
        <f>Q44</f>
        <v>2.7378</v>
      </c>
      <c r="R47" s="198">
        <f>R44</f>
        <v>2.1059999999999999</v>
      </c>
    </row>
    <row r="48" spans="1:23" ht="16.5" thickTop="1" thickBot="1" x14ac:dyDescent="0.3">
      <c r="A48" s="130" t="s">
        <v>70</v>
      </c>
      <c r="B48" s="131">
        <v>4.9495199999999997</v>
      </c>
      <c r="C48" s="240">
        <v>3.3803999999999998</v>
      </c>
      <c r="D48" s="240"/>
      <c r="F48" s="123"/>
      <c r="G48" s="124" t="s">
        <v>176</v>
      </c>
      <c r="H48" s="121">
        <f>3/2</f>
        <v>1.5</v>
      </c>
      <c r="I48" s="121">
        <f>4.3/2</f>
        <v>2.15</v>
      </c>
      <c r="J48" s="121"/>
      <c r="K48" s="121"/>
      <c r="L48" s="24">
        <f>L47</f>
        <v>42.632299999999994</v>
      </c>
      <c r="M48" s="24">
        <f>M47</f>
        <v>26.561</v>
      </c>
      <c r="O48" s="186" t="s">
        <v>290</v>
      </c>
      <c r="P48" s="186" t="s">
        <v>292</v>
      </c>
      <c r="Q48" s="197">
        <f>Q47</f>
        <v>2.7378</v>
      </c>
      <c r="R48" s="200">
        <f>R47</f>
        <v>2.1059999999999999</v>
      </c>
    </row>
    <row r="49" spans="1:23" ht="16.5" thickTop="1" thickBot="1" x14ac:dyDescent="0.3">
      <c r="A49" s="130" t="s">
        <v>71</v>
      </c>
      <c r="B49" s="131">
        <v>8.8568000000000016</v>
      </c>
      <c r="C49" s="240">
        <v>6.5360000000000005</v>
      </c>
      <c r="D49" s="240"/>
      <c r="F49" s="123"/>
      <c r="G49" s="124" t="s">
        <v>181</v>
      </c>
      <c r="H49" s="121"/>
      <c r="I49" s="121">
        <f>4.3/2</f>
        <v>2.15</v>
      </c>
      <c r="J49" s="121">
        <f>1.2</f>
        <v>1.2</v>
      </c>
      <c r="K49" s="121"/>
      <c r="L49" s="24">
        <f>B33*$I$49+B34*$J$49+B36+B46</f>
        <v>51.5593</v>
      </c>
      <c r="M49" s="24">
        <f>C33*$I$49+C34*$J$49+C36+C46</f>
        <v>31.890999999999998</v>
      </c>
      <c r="O49" s="185" t="s">
        <v>290</v>
      </c>
      <c r="P49" s="185" t="s">
        <v>293</v>
      </c>
      <c r="Q49" s="196">
        <f>Q41</f>
        <v>14.744600000000002</v>
      </c>
      <c r="R49" s="199">
        <f>R43</f>
        <v>11.342000000000002</v>
      </c>
    </row>
    <row r="50" spans="1:23" ht="15.75" thickTop="1" x14ac:dyDescent="0.25">
      <c r="F50" s="123"/>
      <c r="G50" s="124" t="s">
        <v>182</v>
      </c>
      <c r="H50" s="121"/>
      <c r="I50" s="121"/>
      <c r="J50" s="121"/>
      <c r="K50" s="122"/>
      <c r="L50" s="24">
        <f>T36</f>
        <v>30.953153333333333</v>
      </c>
      <c r="M50" s="24">
        <f>U36</f>
        <v>11.991723786892582</v>
      </c>
      <c r="O50" s="184" t="s">
        <v>294</v>
      </c>
      <c r="P50" s="184" t="s">
        <v>296</v>
      </c>
      <c r="Q50" s="195">
        <f>Q45</f>
        <v>5.5926000000000018</v>
      </c>
      <c r="R50" s="198">
        <f>R45</f>
        <v>4.3020000000000014</v>
      </c>
    </row>
    <row r="51" spans="1:23" x14ac:dyDescent="0.25">
      <c r="F51" s="123"/>
      <c r="G51" s="124" t="s">
        <v>220</v>
      </c>
      <c r="H51" s="121"/>
      <c r="I51" s="121">
        <f>I49</f>
        <v>2.15</v>
      </c>
      <c r="J51" s="121">
        <f>J49</f>
        <v>1.2</v>
      </c>
      <c r="K51" s="121"/>
      <c r="L51" s="24">
        <f>L49</f>
        <v>51.5593</v>
      </c>
      <c r="M51" s="24">
        <f>M49</f>
        <v>31.890999999999998</v>
      </c>
      <c r="O51" s="185" t="s">
        <v>294</v>
      </c>
      <c r="P51" s="185" t="s">
        <v>297</v>
      </c>
      <c r="Q51" s="196">
        <f t="shared" ref="Q51:R53" si="5">Q50</f>
        <v>5.5926000000000018</v>
      </c>
      <c r="R51" s="199">
        <f t="shared" si="5"/>
        <v>4.3020000000000014</v>
      </c>
    </row>
    <row r="52" spans="1:23" x14ac:dyDescent="0.25">
      <c r="F52" s="123"/>
      <c r="G52" s="124" t="s">
        <v>183</v>
      </c>
      <c r="H52" s="121">
        <f>H48</f>
        <v>1.5</v>
      </c>
      <c r="I52" s="121">
        <f>I48</f>
        <v>2.15</v>
      </c>
      <c r="J52" s="121"/>
      <c r="K52" s="121"/>
      <c r="L52" s="24">
        <f>L48</f>
        <v>42.632299999999994</v>
      </c>
      <c r="M52" s="24">
        <f>M48</f>
        <v>26.561</v>
      </c>
      <c r="O52" s="184" t="s">
        <v>295</v>
      </c>
      <c r="P52" s="184" t="s">
        <v>298</v>
      </c>
      <c r="Q52" s="195">
        <f t="shared" si="5"/>
        <v>5.5926000000000018</v>
      </c>
      <c r="R52" s="198">
        <f t="shared" si="5"/>
        <v>4.3020000000000014</v>
      </c>
    </row>
    <row r="53" spans="1:23" x14ac:dyDescent="0.25">
      <c r="F53" s="123"/>
      <c r="G53" s="124" t="s">
        <v>177</v>
      </c>
      <c r="H53" s="121">
        <f>H47</f>
        <v>1.5</v>
      </c>
      <c r="I53" s="121">
        <f>I47</f>
        <v>2.15</v>
      </c>
      <c r="J53" s="121"/>
      <c r="K53" s="121"/>
      <c r="L53" s="24">
        <f>L47</f>
        <v>42.632299999999994</v>
      </c>
      <c r="M53" s="24">
        <f>M47</f>
        <v>26.561</v>
      </c>
      <c r="O53" s="185" t="s">
        <v>295</v>
      </c>
      <c r="P53" s="185" t="s">
        <v>299</v>
      </c>
      <c r="Q53" s="196">
        <f t="shared" si="5"/>
        <v>5.5926000000000018</v>
      </c>
      <c r="R53" s="199">
        <f t="shared" si="5"/>
        <v>4.3020000000000014</v>
      </c>
    </row>
    <row r="54" spans="1:23" x14ac:dyDescent="0.25">
      <c r="F54" s="123">
        <v>4</v>
      </c>
      <c r="G54" s="124" t="s">
        <v>173</v>
      </c>
      <c r="H54" s="121"/>
      <c r="I54" s="121">
        <f>3/2</f>
        <v>1.5</v>
      </c>
      <c r="J54" s="121">
        <f>1.2</f>
        <v>1.2</v>
      </c>
      <c r="K54" s="121"/>
      <c r="L54" s="24">
        <f>B33*$I$54+B34*$J$54+B36+B46</f>
        <v>44.454800000000006</v>
      </c>
      <c r="M54" s="24">
        <f>C33*$I$54+C34*$J$54+C36+C46</f>
        <v>27.536000000000001</v>
      </c>
      <c r="O54" s="187" t="s">
        <v>300</v>
      </c>
      <c r="P54" s="184" t="s">
        <v>303</v>
      </c>
      <c r="Q54" s="195">
        <f>Q47</f>
        <v>2.7378</v>
      </c>
      <c r="R54" s="198">
        <f>R47</f>
        <v>2.1059999999999999</v>
      </c>
    </row>
    <row r="55" spans="1:23" x14ac:dyDescent="0.25">
      <c r="F55" s="123"/>
      <c r="G55" s="124" t="s">
        <v>175</v>
      </c>
      <c r="H55" s="121"/>
      <c r="I55" s="121">
        <f>3/2</f>
        <v>1.5</v>
      </c>
      <c r="J55" s="121">
        <v>1.2</v>
      </c>
      <c r="K55" s="121"/>
      <c r="L55" s="24">
        <f>L54</f>
        <v>44.454800000000006</v>
      </c>
      <c r="M55" s="24">
        <f>M54</f>
        <v>27.536000000000001</v>
      </c>
      <c r="O55" s="188" t="s">
        <v>300</v>
      </c>
      <c r="P55" s="188" t="s">
        <v>304</v>
      </c>
      <c r="Q55" s="197">
        <f>Q54</f>
        <v>2.7378</v>
      </c>
      <c r="R55" s="200">
        <f>R54</f>
        <v>2.1059999999999999</v>
      </c>
    </row>
    <row r="56" spans="1:23" x14ac:dyDescent="0.25">
      <c r="F56" s="123">
        <v>5</v>
      </c>
      <c r="G56" s="124" t="s">
        <v>178</v>
      </c>
      <c r="H56" s="121"/>
      <c r="I56" s="121">
        <f>I55</f>
        <v>1.5</v>
      </c>
      <c r="J56" s="121">
        <f>J55</f>
        <v>1.2</v>
      </c>
      <c r="K56" s="121"/>
      <c r="L56" s="24">
        <f>L55</f>
        <v>44.454800000000006</v>
      </c>
      <c r="M56" s="24">
        <f>M55</f>
        <v>27.536000000000001</v>
      </c>
      <c r="O56" s="189" t="s">
        <v>300</v>
      </c>
      <c r="P56" s="185" t="s">
        <v>305</v>
      </c>
      <c r="Q56" s="196">
        <f>Q49</f>
        <v>14.744600000000002</v>
      </c>
      <c r="R56" s="199">
        <f>R49</f>
        <v>11.342000000000002</v>
      </c>
    </row>
    <row r="57" spans="1:23" x14ac:dyDescent="0.25">
      <c r="F57" s="123"/>
      <c r="G57" s="124" t="s">
        <v>221</v>
      </c>
      <c r="H57" s="121"/>
      <c r="I57" s="121">
        <f>I54</f>
        <v>1.5</v>
      </c>
      <c r="J57" s="121">
        <f>J54</f>
        <v>1.2</v>
      </c>
      <c r="K57" s="121"/>
      <c r="L57" s="24">
        <f>L54</f>
        <v>44.454800000000006</v>
      </c>
      <c r="M57" s="24">
        <f>M54</f>
        <v>27.536000000000001</v>
      </c>
      <c r="O57" s="187" t="s">
        <v>301</v>
      </c>
      <c r="P57" s="184" t="s">
        <v>306</v>
      </c>
      <c r="Q57" s="195">
        <f>Q44</f>
        <v>2.7378</v>
      </c>
      <c r="R57" s="198">
        <f>R44</f>
        <v>2.1059999999999999</v>
      </c>
    </row>
    <row r="58" spans="1:23" x14ac:dyDescent="0.25">
      <c r="F58" s="123">
        <v>6</v>
      </c>
      <c r="G58" s="124" t="s">
        <v>222</v>
      </c>
      <c r="H58" s="121"/>
      <c r="I58" s="121"/>
      <c r="J58" s="121">
        <v>1.2</v>
      </c>
      <c r="K58" s="121"/>
      <c r="L58" s="24">
        <f>B34*$J$58+B46+B36</f>
        <v>28.059799999999999</v>
      </c>
      <c r="M58" s="24">
        <f>C34*$J$58+C46+C36</f>
        <v>17.486000000000004</v>
      </c>
      <c r="O58" s="188" t="s">
        <v>301</v>
      </c>
      <c r="P58" s="188" t="s">
        <v>307</v>
      </c>
      <c r="Q58" s="197">
        <f>Q45</f>
        <v>5.5926000000000018</v>
      </c>
      <c r="R58" s="200">
        <f>R45</f>
        <v>4.3020000000000014</v>
      </c>
    </row>
    <row r="59" spans="1:23" x14ac:dyDescent="0.25">
      <c r="F59" s="123">
        <v>9</v>
      </c>
      <c r="G59" s="124" t="s">
        <v>223</v>
      </c>
      <c r="H59" s="121"/>
      <c r="I59" s="121">
        <f>3/2</f>
        <v>1.5</v>
      </c>
      <c r="J59" s="121"/>
      <c r="K59" s="121"/>
      <c r="L59" s="24">
        <f>B33*$I$59+B36+B46</f>
        <v>31.139600000000002</v>
      </c>
      <c r="M59" s="24">
        <f>C33*$I$59+C36+C46</f>
        <v>21.392000000000003</v>
      </c>
      <c r="O59" s="189" t="s">
        <v>301</v>
      </c>
      <c r="P59" s="185" t="s">
        <v>308</v>
      </c>
      <c r="Q59" s="196">
        <f>Q58</f>
        <v>5.5926000000000018</v>
      </c>
      <c r="R59" s="199">
        <f>R58</f>
        <v>4.3020000000000014</v>
      </c>
    </row>
    <row r="60" spans="1:23" x14ac:dyDescent="0.25">
      <c r="F60" s="123">
        <v>10</v>
      </c>
      <c r="G60" s="124" t="s">
        <v>224</v>
      </c>
      <c r="H60" s="121">
        <f>I59</f>
        <v>1.5</v>
      </c>
      <c r="I60" s="121"/>
      <c r="J60" s="121"/>
      <c r="K60" s="121"/>
      <c r="L60" s="24">
        <f>L59</f>
        <v>31.139600000000002</v>
      </c>
      <c r="M60" s="24">
        <f>M59</f>
        <v>21.392000000000003</v>
      </c>
      <c r="O60" s="187" t="s">
        <v>302</v>
      </c>
      <c r="P60" s="184" t="s">
        <v>309</v>
      </c>
      <c r="Q60" s="195">
        <f>Q42</f>
        <v>14.744600000000002</v>
      </c>
      <c r="R60" s="198">
        <f>R42</f>
        <v>11.342000000000002</v>
      </c>
    </row>
    <row r="61" spans="1:23" x14ac:dyDescent="0.25">
      <c r="F61" s="123">
        <v>13</v>
      </c>
      <c r="G61" s="124" t="s">
        <v>225</v>
      </c>
      <c r="H61" s="121"/>
      <c r="I61" s="121"/>
      <c r="J61" s="121">
        <v>1.2</v>
      </c>
      <c r="K61" s="121"/>
      <c r="L61" s="24">
        <f>L58</f>
        <v>28.059799999999999</v>
      </c>
      <c r="M61" s="24">
        <f>M58</f>
        <v>17.486000000000004</v>
      </c>
      <c r="O61" s="189" t="s">
        <v>302</v>
      </c>
      <c r="P61" s="185" t="s">
        <v>310</v>
      </c>
      <c r="Q61" s="196">
        <f>Q43</f>
        <v>14.744600000000002</v>
      </c>
      <c r="R61" s="199">
        <f>R43</f>
        <v>11.342000000000002</v>
      </c>
    </row>
    <row r="62" spans="1:23" ht="15.75" thickBot="1" x14ac:dyDescent="0.3"/>
    <row r="63" spans="1:23" ht="19.5" thickBot="1" x14ac:dyDescent="0.3">
      <c r="A63" s="129" t="s">
        <v>191</v>
      </c>
      <c r="B63" s="130" t="s">
        <v>192</v>
      </c>
      <c r="C63" s="245" t="s">
        <v>50</v>
      </c>
      <c r="D63" s="245"/>
      <c r="F63" s="250" t="s">
        <v>243</v>
      </c>
      <c r="G63" s="251"/>
      <c r="H63" s="251"/>
      <c r="I63" s="251"/>
      <c r="J63" s="251"/>
      <c r="K63" s="251"/>
      <c r="L63" s="251"/>
      <c r="M63" s="251"/>
      <c r="N63" s="251"/>
      <c r="O63" s="251"/>
      <c r="P63" s="251"/>
      <c r="Q63" s="251"/>
      <c r="R63" s="251"/>
      <c r="S63" s="251"/>
      <c r="T63" s="251"/>
      <c r="U63" s="251"/>
      <c r="V63" s="251"/>
      <c r="W63" s="252"/>
    </row>
    <row r="64" spans="1:23" ht="34.5" thickTop="1" thickBot="1" x14ac:dyDescent="0.3">
      <c r="A64" s="130" t="s">
        <v>193</v>
      </c>
      <c r="B64" s="131">
        <v>10.93</v>
      </c>
      <c r="C64" s="240">
        <v>6.6999999999999993</v>
      </c>
      <c r="D64" s="240"/>
      <c r="F64" s="133" t="s">
        <v>171</v>
      </c>
      <c r="G64" s="134" t="s">
        <v>172</v>
      </c>
      <c r="H64" s="138" t="s">
        <v>230</v>
      </c>
      <c r="I64" s="138" t="s">
        <v>231</v>
      </c>
      <c r="J64" s="138" t="s">
        <v>228</v>
      </c>
      <c r="K64" s="138" t="s">
        <v>229</v>
      </c>
      <c r="L64" s="135" t="s">
        <v>79</v>
      </c>
      <c r="M64" s="136" t="s">
        <v>80</v>
      </c>
      <c r="O64" s="253" t="s">
        <v>226</v>
      </c>
      <c r="P64" s="254"/>
      <c r="Q64" s="254"/>
      <c r="R64" s="254"/>
      <c r="S64" s="254"/>
      <c r="T64" s="254"/>
      <c r="U64" s="254"/>
      <c r="V64" s="254"/>
      <c r="W64" s="254"/>
    </row>
    <row r="65" spans="1:22" ht="46.5" thickTop="1" thickBot="1" x14ac:dyDescent="0.3">
      <c r="A65" s="130" t="s">
        <v>194</v>
      </c>
      <c r="B65" s="131">
        <v>11.096</v>
      </c>
      <c r="C65" s="240">
        <v>5.12</v>
      </c>
      <c r="D65" s="240"/>
      <c r="F65" s="123">
        <v>1</v>
      </c>
      <c r="G65" s="124" t="s">
        <v>212</v>
      </c>
      <c r="H65" s="121">
        <f>5/2</f>
        <v>2.5</v>
      </c>
      <c r="I65" s="121"/>
      <c r="J65" s="126">
        <v>1.2</v>
      </c>
      <c r="L65" s="24">
        <f>B$64*H65+B$65*J65+B$68+B$77</f>
        <v>54.409800000000004</v>
      </c>
      <c r="M65" s="24">
        <f>C$64*H65+C$65*J65+C$68+C$77</f>
        <v>33.485999999999997</v>
      </c>
      <c r="N65" s="126">
        <f t="shared" ref="N65" si="6">$B64*J65+$B65*L65+$B68+$B77</f>
        <v>630.61674080000012</v>
      </c>
      <c r="O65" s="133" t="s">
        <v>172</v>
      </c>
      <c r="P65" s="133" t="s">
        <v>171</v>
      </c>
      <c r="Q65" s="137" t="s">
        <v>208</v>
      </c>
      <c r="R65" s="137" t="s">
        <v>209</v>
      </c>
      <c r="S65" s="137" t="s">
        <v>187</v>
      </c>
      <c r="T65" s="137" t="s">
        <v>188</v>
      </c>
      <c r="U65" s="137" t="s">
        <v>189</v>
      </c>
      <c r="V65" s="128" t="s">
        <v>190</v>
      </c>
    </row>
    <row r="66" spans="1:22" ht="16.5" thickTop="1" thickBot="1" x14ac:dyDescent="0.3">
      <c r="A66" s="130" t="s">
        <v>195</v>
      </c>
      <c r="B66" s="132">
        <v>12.89</v>
      </c>
      <c r="C66" s="244">
        <v>6.5</v>
      </c>
      <c r="D66" s="244"/>
      <c r="F66" s="123"/>
      <c r="G66" s="124" t="s">
        <v>213</v>
      </c>
      <c r="H66" s="121">
        <f>5/2</f>
        <v>2.5</v>
      </c>
      <c r="I66" s="121"/>
      <c r="J66" s="126">
        <v>1.2</v>
      </c>
      <c r="K66" s="121"/>
      <c r="L66" s="24">
        <f>B$64*H66+B$65*J66+B$68+B$77</f>
        <v>54.409800000000004</v>
      </c>
      <c r="M66" s="24">
        <f t="shared" ref="M66:M70" si="7">C$64*H66+C$65*J66+C$68+C$77</f>
        <v>33.485999999999997</v>
      </c>
      <c r="O66" s="124" t="s">
        <v>184</v>
      </c>
      <c r="P66" s="125" t="s">
        <v>210</v>
      </c>
      <c r="Q66" s="125">
        <f>Q35</f>
        <v>48.625659999999996</v>
      </c>
      <c r="R66" s="125">
        <f t="shared" ref="R66:S66" si="8">R35</f>
        <v>20.111000000000001</v>
      </c>
      <c r="S66" s="125">
        <f t="shared" si="8"/>
        <v>3</v>
      </c>
      <c r="T66" s="125">
        <f>Q66/$S$66+B70</f>
        <v>18.946353333333331</v>
      </c>
      <c r="U66" s="125">
        <f>R66/$S$66+C70</f>
        <v>8.8096666666666668</v>
      </c>
      <c r="V66" s="122">
        <f>ATAN(0.16/0.3)</f>
        <v>0.48995732625372829</v>
      </c>
    </row>
    <row r="67" spans="1:22" ht="16.5" thickTop="1" thickBot="1" x14ac:dyDescent="0.3">
      <c r="A67" s="130" t="s">
        <v>232</v>
      </c>
      <c r="B67" s="131">
        <v>5.5926000000000018</v>
      </c>
      <c r="C67" s="240">
        <v>4.3020000000000014</v>
      </c>
      <c r="D67" s="240"/>
      <c r="F67" s="123"/>
      <c r="G67" s="124" t="s">
        <v>214</v>
      </c>
      <c r="H67" s="121">
        <f>5/2</f>
        <v>2.5</v>
      </c>
      <c r="I67" s="121"/>
      <c r="J67" s="126">
        <v>1.2</v>
      </c>
      <c r="K67" s="121"/>
      <c r="L67" s="24">
        <f>B$64*H67+B$65*J67+B$68+B$77</f>
        <v>54.409800000000004</v>
      </c>
      <c r="M67" s="24">
        <f t="shared" si="7"/>
        <v>33.485999999999997</v>
      </c>
      <c r="O67" s="124" t="s">
        <v>182</v>
      </c>
      <c r="P67" s="125" t="s">
        <v>211</v>
      </c>
      <c r="Q67" s="125">
        <f>Q36</f>
        <v>48.625659999999996</v>
      </c>
      <c r="R67" s="125">
        <f t="shared" ref="R67:S67" si="9">R36</f>
        <v>20.111000000000001</v>
      </c>
      <c r="S67" s="125">
        <f t="shared" si="9"/>
        <v>3</v>
      </c>
      <c r="T67" s="125">
        <f>Q67/$S$67+B70+B77</f>
        <v>28.098353333333332</v>
      </c>
      <c r="U67" s="125">
        <f>R67/$S$67+C70+C77</f>
        <v>15.849666666666668</v>
      </c>
    </row>
    <row r="68" spans="1:22" ht="16.5" thickTop="1" thickBot="1" x14ac:dyDescent="0.3">
      <c r="A68" s="130" t="s">
        <v>233</v>
      </c>
      <c r="B68" s="131">
        <v>4.6176000000000004</v>
      </c>
      <c r="C68" s="240">
        <v>3.552</v>
      </c>
      <c r="D68" s="240"/>
      <c r="F68" s="123"/>
      <c r="G68" s="124" t="s">
        <v>215</v>
      </c>
      <c r="H68" s="121">
        <f>H67</f>
        <v>2.5</v>
      </c>
      <c r="I68" s="121"/>
      <c r="J68" s="126">
        <f>J67</f>
        <v>1.2</v>
      </c>
      <c r="K68" s="121"/>
      <c r="L68" s="24">
        <f>B$64*H68+B$65*J68+B$68+B$77</f>
        <v>54.409800000000004</v>
      </c>
      <c r="M68" s="24">
        <f t="shared" si="7"/>
        <v>33.485999999999997</v>
      </c>
      <c r="O68" s="124"/>
      <c r="P68" s="125"/>
      <c r="Q68" s="125"/>
      <c r="R68" s="125"/>
      <c r="S68" s="125"/>
      <c r="T68" s="125"/>
      <c r="U68" s="125"/>
    </row>
    <row r="69" spans="1:22" ht="16.5" thickTop="1" thickBot="1" x14ac:dyDescent="0.3">
      <c r="A69" s="130" t="s">
        <v>234</v>
      </c>
      <c r="B69" s="131">
        <v>3.6426000000000003</v>
      </c>
      <c r="C69" s="240">
        <v>2.802</v>
      </c>
      <c r="D69" s="240"/>
      <c r="F69" s="123"/>
      <c r="G69" s="124" t="s">
        <v>216</v>
      </c>
      <c r="H69" s="121">
        <f>H66</f>
        <v>2.5</v>
      </c>
      <c r="I69" s="121"/>
      <c r="J69" s="126">
        <f>J66</f>
        <v>1.2</v>
      </c>
      <c r="K69" s="121"/>
      <c r="L69" s="24">
        <f t="shared" ref="L69" si="10">B$64*H69+B$65*J69+B$68+B$77</f>
        <v>54.409800000000004</v>
      </c>
      <c r="M69" s="24">
        <f t="shared" si="7"/>
        <v>33.485999999999997</v>
      </c>
    </row>
    <row r="70" spans="1:22" ht="16.5" thickTop="1" thickBot="1" x14ac:dyDescent="0.3">
      <c r="A70" s="130" t="s">
        <v>235</v>
      </c>
      <c r="B70" s="131">
        <v>2.7378</v>
      </c>
      <c r="C70" s="240">
        <v>2.1059999999999999</v>
      </c>
      <c r="D70" s="240"/>
      <c r="F70" s="123"/>
      <c r="G70" s="124" t="s">
        <v>217</v>
      </c>
      <c r="H70" s="121">
        <f>H65</f>
        <v>2.5</v>
      </c>
      <c r="I70" s="121"/>
      <c r="J70" s="126">
        <f>J65</f>
        <v>1.2</v>
      </c>
      <c r="K70" s="121"/>
      <c r="L70" s="24">
        <f>B$64*H70+B$65*J70+B$68+B$77</f>
        <v>54.409800000000004</v>
      </c>
      <c r="M70" s="24">
        <f t="shared" si="7"/>
        <v>33.485999999999997</v>
      </c>
      <c r="O70" s="247" t="s">
        <v>311</v>
      </c>
      <c r="P70" s="248"/>
      <c r="Q70" s="248"/>
      <c r="R70" s="249"/>
    </row>
    <row r="71" spans="1:22" ht="16.5" thickTop="1" thickBot="1" x14ac:dyDescent="0.3">
      <c r="A71" s="130" t="s">
        <v>236</v>
      </c>
      <c r="B71" s="131">
        <v>16.38</v>
      </c>
      <c r="C71" s="240">
        <v>12.6</v>
      </c>
      <c r="D71" s="240"/>
      <c r="F71" s="123">
        <v>2</v>
      </c>
      <c r="G71" s="124" t="s">
        <v>179</v>
      </c>
      <c r="H71" s="121">
        <f>4.3/2</f>
        <v>2.15</v>
      </c>
      <c r="I71" s="121">
        <f>5/2</f>
        <v>2.5</v>
      </c>
      <c r="J71" s="126"/>
      <c r="K71" s="121"/>
      <c r="L71" s="24">
        <f>B$64*H71+B$64*I71+B$68</f>
        <v>55.442100000000003</v>
      </c>
      <c r="M71" s="24">
        <f>C$64*H71+C$64*I71+C$68</f>
        <v>34.707000000000001</v>
      </c>
      <c r="N71" s="126">
        <f t="shared" ref="N71" si="11">D$64*J71+D$64*K71+D$68</f>
        <v>0</v>
      </c>
      <c r="O71" s="185"/>
      <c r="P71" s="185"/>
      <c r="Q71" s="192" t="s">
        <v>280</v>
      </c>
      <c r="R71" s="194" t="s">
        <v>281</v>
      </c>
    </row>
    <row r="72" spans="1:22" ht="16.5" thickTop="1" thickBot="1" x14ac:dyDescent="0.3">
      <c r="A72" s="130" t="s">
        <v>237</v>
      </c>
      <c r="B72" s="131">
        <v>15.794999999999998</v>
      </c>
      <c r="C72" s="240">
        <v>12.149999999999999</v>
      </c>
      <c r="D72" s="240"/>
      <c r="F72" s="123"/>
      <c r="G72" s="124" t="s">
        <v>180</v>
      </c>
      <c r="H72" s="121">
        <f>4.3/2</f>
        <v>2.15</v>
      </c>
      <c r="I72" s="121">
        <f>5/2</f>
        <v>2.5</v>
      </c>
      <c r="J72" s="126"/>
      <c r="K72" s="121"/>
      <c r="L72" s="24">
        <f t="shared" ref="L72:L77" si="12">B$64*H72+B$64*I72+B$68</f>
        <v>55.442100000000003</v>
      </c>
      <c r="M72" s="24">
        <f t="shared" ref="M72:M77" si="13">C$64*H72+C$64*I72+C$68</f>
        <v>34.707000000000001</v>
      </c>
      <c r="O72" s="183" t="s">
        <v>284</v>
      </c>
      <c r="P72" s="183" t="s">
        <v>246</v>
      </c>
      <c r="Q72" s="191">
        <f>B68+B77</f>
        <v>13.769600000000001</v>
      </c>
      <c r="R72" s="125">
        <f>C68+C77</f>
        <v>10.592000000000001</v>
      </c>
    </row>
    <row r="73" spans="1:22" ht="16.5" thickTop="1" thickBot="1" x14ac:dyDescent="0.3">
      <c r="A73" s="130" t="s">
        <v>238</v>
      </c>
      <c r="B73" s="131">
        <v>18.427499999999998</v>
      </c>
      <c r="C73" s="240">
        <v>14.174999999999999</v>
      </c>
      <c r="D73" s="240"/>
      <c r="F73" s="123"/>
      <c r="G73" s="124" t="s">
        <v>218</v>
      </c>
      <c r="H73" s="121">
        <f>4.3/2</f>
        <v>2.15</v>
      </c>
      <c r="I73" s="121">
        <f>5/2</f>
        <v>2.5</v>
      </c>
      <c r="J73" s="126"/>
      <c r="K73" s="121"/>
      <c r="L73" s="24">
        <f>B$64*H73+B$64*I73+B$68</f>
        <v>55.442100000000003</v>
      </c>
      <c r="M73" s="24">
        <f t="shared" si="13"/>
        <v>34.707000000000001</v>
      </c>
      <c r="O73" s="184" t="s">
        <v>285</v>
      </c>
      <c r="P73" s="190" t="s">
        <v>282</v>
      </c>
      <c r="Q73" s="195">
        <f>Q72</f>
        <v>13.769600000000001</v>
      </c>
      <c r="R73" s="198">
        <f>R72</f>
        <v>10.592000000000001</v>
      </c>
    </row>
    <row r="74" spans="1:22" ht="16.5" thickTop="1" thickBot="1" x14ac:dyDescent="0.3">
      <c r="A74" s="130" t="s">
        <v>239</v>
      </c>
      <c r="B74" s="131">
        <v>17.744999999999997</v>
      </c>
      <c r="C74" s="240">
        <v>13.649999999999999</v>
      </c>
      <c r="D74" s="240"/>
      <c r="F74" s="123"/>
      <c r="G74" s="123" t="s">
        <v>184</v>
      </c>
      <c r="H74" s="121"/>
      <c r="I74" s="121"/>
      <c r="J74" s="126"/>
      <c r="K74" s="122"/>
      <c r="L74" s="24">
        <f>T66</f>
        <v>18.946353333333331</v>
      </c>
      <c r="M74" s="24">
        <f>U66</f>
        <v>8.8096666666666668</v>
      </c>
      <c r="O74" s="185" t="s">
        <v>285</v>
      </c>
      <c r="P74" s="185" t="s">
        <v>283</v>
      </c>
      <c r="Q74" s="196">
        <f>Q73</f>
        <v>13.769600000000001</v>
      </c>
      <c r="R74" s="199">
        <f>R73</f>
        <v>10.592000000000001</v>
      </c>
    </row>
    <row r="75" spans="1:22" ht="16.5" thickTop="1" thickBot="1" x14ac:dyDescent="0.3">
      <c r="A75" s="130" t="s">
        <v>240</v>
      </c>
      <c r="B75" s="131">
        <v>20.279999999999998</v>
      </c>
      <c r="C75" s="240">
        <v>15.599999999999998</v>
      </c>
      <c r="D75" s="240"/>
      <c r="F75" s="123"/>
      <c r="G75" s="124" t="s">
        <v>185</v>
      </c>
      <c r="H75" s="121">
        <f>H73</f>
        <v>2.15</v>
      </c>
      <c r="I75" s="121">
        <f>I73</f>
        <v>2.5</v>
      </c>
      <c r="J75" s="126"/>
      <c r="K75" s="121"/>
      <c r="L75" s="24">
        <f>B$64*H75+B$64*I75+B$68</f>
        <v>55.442100000000003</v>
      </c>
      <c r="M75" s="24">
        <f t="shared" si="13"/>
        <v>34.707000000000001</v>
      </c>
      <c r="O75" s="184" t="s">
        <v>286</v>
      </c>
      <c r="P75" s="184" t="s">
        <v>287</v>
      </c>
      <c r="Q75" s="195">
        <f>B70</f>
        <v>2.7378</v>
      </c>
      <c r="R75" s="198">
        <f>C70</f>
        <v>2.1059999999999999</v>
      </c>
    </row>
    <row r="76" spans="1:22" ht="16.5" thickTop="1" thickBot="1" x14ac:dyDescent="0.3">
      <c r="A76" s="130" t="s">
        <v>241</v>
      </c>
      <c r="B76" s="131">
        <v>22.619999999999997</v>
      </c>
      <c r="C76" s="240">
        <v>17.399999999999999</v>
      </c>
      <c r="D76" s="240"/>
      <c r="F76" s="123"/>
      <c r="G76" s="124" t="s">
        <v>219</v>
      </c>
      <c r="H76" s="121">
        <f>H72</f>
        <v>2.15</v>
      </c>
      <c r="I76" s="121">
        <f>I72</f>
        <v>2.5</v>
      </c>
      <c r="J76" s="126"/>
      <c r="K76" s="121"/>
      <c r="L76" s="24">
        <f t="shared" si="12"/>
        <v>55.442100000000003</v>
      </c>
      <c r="M76" s="24">
        <f t="shared" si="13"/>
        <v>34.707000000000001</v>
      </c>
      <c r="O76" s="186" t="s">
        <v>286</v>
      </c>
      <c r="P76" s="186" t="s">
        <v>288</v>
      </c>
      <c r="Q76" s="197">
        <f>B68</f>
        <v>4.6176000000000004</v>
      </c>
      <c r="R76" s="200">
        <f>C68</f>
        <v>3.552</v>
      </c>
    </row>
    <row r="77" spans="1:22" ht="16.5" thickTop="1" thickBot="1" x14ac:dyDescent="0.3">
      <c r="A77" s="130" t="s">
        <v>206</v>
      </c>
      <c r="B77" s="131">
        <v>9.152000000000001</v>
      </c>
      <c r="C77" s="244">
        <v>7.0400000000000009</v>
      </c>
      <c r="D77" s="244"/>
      <c r="F77" s="123"/>
      <c r="G77" s="124" t="s">
        <v>186</v>
      </c>
      <c r="H77" s="121">
        <f>H71</f>
        <v>2.15</v>
      </c>
      <c r="I77" s="121">
        <f>I71</f>
        <v>2.5</v>
      </c>
      <c r="J77" s="126"/>
      <c r="K77" s="121"/>
      <c r="L77" s="24">
        <f t="shared" si="12"/>
        <v>55.442100000000003</v>
      </c>
      <c r="M77" s="24">
        <f t="shared" si="13"/>
        <v>34.707000000000001</v>
      </c>
      <c r="O77" s="185" t="s">
        <v>286</v>
      </c>
      <c r="P77" s="185" t="s">
        <v>289</v>
      </c>
      <c r="Q77" s="196">
        <f>Q76</f>
        <v>4.6176000000000004</v>
      </c>
      <c r="R77" s="199">
        <f>R76</f>
        <v>3.552</v>
      </c>
    </row>
    <row r="78" spans="1:22" ht="16.5" thickTop="1" thickBot="1" x14ac:dyDescent="0.3">
      <c r="A78" s="130" t="s">
        <v>207</v>
      </c>
      <c r="B78" s="131">
        <v>4.3264000000000005</v>
      </c>
      <c r="C78" s="240">
        <v>3.3280000000000003</v>
      </c>
      <c r="D78" s="240"/>
      <c r="F78" s="123">
        <v>3</v>
      </c>
      <c r="G78" s="124" t="s">
        <v>174</v>
      </c>
      <c r="H78" s="121">
        <f>3/2</f>
        <v>1.5</v>
      </c>
      <c r="I78" s="121">
        <f>4.3/2</f>
        <v>2.15</v>
      </c>
      <c r="J78" s="126"/>
      <c r="K78" s="121"/>
      <c r="L78" s="24">
        <f>B$64*H78+B$64*I78+B$70</f>
        <v>42.632299999999994</v>
      </c>
      <c r="M78" s="24">
        <f>C$64*H78+C$64*I78+C$70</f>
        <v>26.561</v>
      </c>
      <c r="O78" s="184" t="s">
        <v>290</v>
      </c>
      <c r="P78" s="184" t="s">
        <v>291</v>
      </c>
      <c r="Q78" s="195">
        <f>Q75</f>
        <v>2.7378</v>
      </c>
      <c r="R78" s="198">
        <f>R75</f>
        <v>2.1059999999999999</v>
      </c>
    </row>
    <row r="79" spans="1:22" ht="16.5" thickTop="1" thickBot="1" x14ac:dyDescent="0.3">
      <c r="A79" s="130" t="s">
        <v>70</v>
      </c>
      <c r="B79" s="131">
        <v>4.9495199999999997</v>
      </c>
      <c r="C79" s="240">
        <v>3.3803999999999998</v>
      </c>
      <c r="D79" s="240"/>
      <c r="F79" s="123"/>
      <c r="G79" s="124" t="s">
        <v>176</v>
      </c>
      <c r="H79" s="121">
        <f>3/2</f>
        <v>1.5</v>
      </c>
      <c r="I79" s="121">
        <f>4.3/2</f>
        <v>2.15</v>
      </c>
      <c r="J79" s="126"/>
      <c r="K79" s="121"/>
      <c r="L79" s="24">
        <f>L78</f>
        <v>42.632299999999994</v>
      </c>
      <c r="M79" s="24">
        <f>M78</f>
        <v>26.561</v>
      </c>
      <c r="O79" s="186" t="s">
        <v>290</v>
      </c>
      <c r="P79" s="186" t="s">
        <v>292</v>
      </c>
      <c r="Q79" s="197">
        <f>Q78</f>
        <v>2.7378</v>
      </c>
      <c r="R79" s="200">
        <f>R78</f>
        <v>2.1059999999999999</v>
      </c>
    </row>
    <row r="80" spans="1:22" ht="16.5" thickTop="1" thickBot="1" x14ac:dyDescent="0.3">
      <c r="A80" s="130" t="s">
        <v>71</v>
      </c>
      <c r="B80" s="131">
        <v>8.8568000000000016</v>
      </c>
      <c r="C80" s="240">
        <v>6.5360000000000005</v>
      </c>
      <c r="D80" s="240"/>
      <c r="F80" s="123"/>
      <c r="G80" s="124" t="s">
        <v>181</v>
      </c>
      <c r="H80" s="121"/>
      <c r="I80" s="121">
        <f>4.3/2</f>
        <v>2.15</v>
      </c>
      <c r="J80" s="126">
        <f>1.2</f>
        <v>1.2</v>
      </c>
      <c r="K80" s="121"/>
      <c r="L80" s="24">
        <f>B$65*J80+B$64*I80+B$68+$B77</f>
        <v>50.584299999999999</v>
      </c>
      <c r="M80" s="24">
        <f>C$65*J80+C$64*I80+C$68+$C77</f>
        <v>31.140999999999998</v>
      </c>
      <c r="O80" s="185" t="s">
        <v>290</v>
      </c>
      <c r="P80" s="185" t="s">
        <v>293</v>
      </c>
      <c r="Q80" s="196">
        <f>Q72</f>
        <v>13.769600000000001</v>
      </c>
      <c r="R80" s="199">
        <f>R74</f>
        <v>10.592000000000001</v>
      </c>
    </row>
    <row r="81" spans="1:23" ht="15.75" thickTop="1" x14ac:dyDescent="0.25">
      <c r="F81" s="123"/>
      <c r="G81" s="124" t="s">
        <v>182</v>
      </c>
      <c r="H81" s="121"/>
      <c r="I81" s="121"/>
      <c r="J81" s="126"/>
      <c r="K81" s="122"/>
      <c r="L81" s="24">
        <f>T67</f>
        <v>28.098353333333332</v>
      </c>
      <c r="M81" s="24">
        <f>U67</f>
        <v>15.849666666666668</v>
      </c>
      <c r="O81" s="184" t="s">
        <v>294</v>
      </c>
      <c r="P81" s="184" t="s">
        <v>296</v>
      </c>
      <c r="Q81" s="195">
        <f>Q76</f>
        <v>4.6176000000000004</v>
      </c>
      <c r="R81" s="198">
        <f>R76</f>
        <v>3.552</v>
      </c>
    </row>
    <row r="82" spans="1:23" x14ac:dyDescent="0.25">
      <c r="F82" s="123"/>
      <c r="G82" s="124" t="s">
        <v>220</v>
      </c>
      <c r="H82" s="121"/>
      <c r="I82" s="121">
        <f>I80</f>
        <v>2.15</v>
      </c>
      <c r="J82" s="126">
        <f>J80</f>
        <v>1.2</v>
      </c>
      <c r="K82" s="121"/>
      <c r="L82" s="24">
        <f>L80</f>
        <v>50.584299999999999</v>
      </c>
      <c r="M82" s="24">
        <f>M80</f>
        <v>31.140999999999998</v>
      </c>
      <c r="O82" s="185" t="s">
        <v>294</v>
      </c>
      <c r="P82" s="185" t="s">
        <v>297</v>
      </c>
      <c r="Q82" s="196">
        <f t="shared" ref="Q82:R84" si="14">Q81</f>
        <v>4.6176000000000004</v>
      </c>
      <c r="R82" s="199">
        <f t="shared" si="14"/>
        <v>3.552</v>
      </c>
    </row>
    <row r="83" spans="1:23" x14ac:dyDescent="0.25">
      <c r="F83" s="123"/>
      <c r="G83" s="124" t="s">
        <v>183</v>
      </c>
      <c r="H83" s="121">
        <f>H79</f>
        <v>1.5</v>
      </c>
      <c r="I83" s="121">
        <f>I79</f>
        <v>2.15</v>
      </c>
      <c r="J83" s="126"/>
      <c r="K83" s="121"/>
      <c r="L83" s="24">
        <f>L79</f>
        <v>42.632299999999994</v>
      </c>
      <c r="M83" s="24">
        <f>M79</f>
        <v>26.561</v>
      </c>
      <c r="O83" s="184" t="s">
        <v>295</v>
      </c>
      <c r="P83" s="184" t="s">
        <v>298</v>
      </c>
      <c r="Q83" s="195">
        <f t="shared" si="14"/>
        <v>4.6176000000000004</v>
      </c>
      <c r="R83" s="198">
        <f t="shared" si="14"/>
        <v>3.552</v>
      </c>
    </row>
    <row r="84" spans="1:23" x14ac:dyDescent="0.25">
      <c r="F84" s="123"/>
      <c r="G84" s="124" t="s">
        <v>177</v>
      </c>
      <c r="H84" s="121">
        <f>H78</f>
        <v>1.5</v>
      </c>
      <c r="I84" s="121">
        <f>I78</f>
        <v>2.15</v>
      </c>
      <c r="J84" s="126"/>
      <c r="K84" s="121"/>
      <c r="L84" s="24">
        <f>L78</f>
        <v>42.632299999999994</v>
      </c>
      <c r="M84" s="24">
        <f>M78</f>
        <v>26.561</v>
      </c>
      <c r="O84" s="185" t="s">
        <v>295</v>
      </c>
      <c r="P84" s="185" t="s">
        <v>299</v>
      </c>
      <c r="Q84" s="196">
        <f t="shared" si="14"/>
        <v>4.6176000000000004</v>
      </c>
      <c r="R84" s="199">
        <f t="shared" si="14"/>
        <v>3.552</v>
      </c>
    </row>
    <row r="85" spans="1:23" x14ac:dyDescent="0.25">
      <c r="F85" s="123">
        <v>4</v>
      </c>
      <c r="G85" s="124" t="s">
        <v>173</v>
      </c>
      <c r="H85" s="121"/>
      <c r="I85" s="121">
        <f>3/2</f>
        <v>1.5</v>
      </c>
      <c r="J85" s="126">
        <f>1.2</f>
        <v>1.2</v>
      </c>
      <c r="K85" s="121"/>
      <c r="L85" s="24">
        <f>B$64*I85+B$65*J85+B$68+B$77</f>
        <v>43.479800000000004</v>
      </c>
      <c r="M85" s="24">
        <f>C$64*I85+C$65*J85+C$68+C$77</f>
        <v>26.786000000000001</v>
      </c>
      <c r="O85" s="187" t="s">
        <v>300</v>
      </c>
      <c r="P85" s="184" t="s">
        <v>303</v>
      </c>
      <c r="Q85" s="195">
        <f>Q78</f>
        <v>2.7378</v>
      </c>
      <c r="R85" s="198">
        <f>R78</f>
        <v>2.1059999999999999</v>
      </c>
    </row>
    <row r="86" spans="1:23" x14ac:dyDescent="0.25">
      <c r="F86" s="123"/>
      <c r="G86" s="124" t="s">
        <v>175</v>
      </c>
      <c r="H86" s="121"/>
      <c r="I86" s="121">
        <f>3/2</f>
        <v>1.5</v>
      </c>
      <c r="J86" s="126">
        <v>1.2</v>
      </c>
      <c r="K86" s="121"/>
      <c r="L86" s="24">
        <f>L85</f>
        <v>43.479800000000004</v>
      </c>
      <c r="M86" s="24">
        <f>M85</f>
        <v>26.786000000000001</v>
      </c>
      <c r="O86" s="188" t="s">
        <v>300</v>
      </c>
      <c r="P86" s="188" t="s">
        <v>304</v>
      </c>
      <c r="Q86" s="197">
        <f>Q85</f>
        <v>2.7378</v>
      </c>
      <c r="R86" s="200">
        <f>R85</f>
        <v>2.1059999999999999</v>
      </c>
    </row>
    <row r="87" spans="1:23" x14ac:dyDescent="0.25">
      <c r="F87" s="123">
        <v>5</v>
      </c>
      <c r="G87" s="124" t="s">
        <v>178</v>
      </c>
      <c r="H87" s="121"/>
      <c r="I87" s="121">
        <f>I86</f>
        <v>1.5</v>
      </c>
      <c r="J87" s="126">
        <f>J86</f>
        <v>1.2</v>
      </c>
      <c r="K87" s="121"/>
      <c r="L87" s="24">
        <f>B$64*I87+B$65*J87+B$68+B$77</f>
        <v>43.479800000000004</v>
      </c>
      <c r="M87" s="24">
        <f>C$64*I87+C$65*J87+C$68+C$77</f>
        <v>26.786000000000001</v>
      </c>
      <c r="O87" s="189" t="s">
        <v>300</v>
      </c>
      <c r="P87" s="185" t="s">
        <v>305</v>
      </c>
      <c r="Q87" s="196">
        <f>Q80</f>
        <v>13.769600000000001</v>
      </c>
      <c r="R87" s="199">
        <f>R80</f>
        <v>10.592000000000001</v>
      </c>
    </row>
    <row r="88" spans="1:23" x14ac:dyDescent="0.25">
      <c r="F88" s="123"/>
      <c r="G88" s="124" t="s">
        <v>221</v>
      </c>
      <c r="H88" s="121"/>
      <c r="I88" s="121">
        <f>I85</f>
        <v>1.5</v>
      </c>
      <c r="J88" s="126">
        <f>J85</f>
        <v>1.2</v>
      </c>
      <c r="K88" s="121"/>
      <c r="L88" s="24">
        <f>L87</f>
        <v>43.479800000000004</v>
      </c>
      <c r="M88" s="24">
        <f>M87</f>
        <v>26.786000000000001</v>
      </c>
      <c r="O88" s="187" t="s">
        <v>301</v>
      </c>
      <c r="P88" s="184" t="s">
        <v>306</v>
      </c>
      <c r="Q88" s="195">
        <f>Q75</f>
        <v>2.7378</v>
      </c>
      <c r="R88" s="198">
        <f>R75</f>
        <v>2.1059999999999999</v>
      </c>
    </row>
    <row r="89" spans="1:23" x14ac:dyDescent="0.25">
      <c r="F89" s="123">
        <v>6</v>
      </c>
      <c r="G89" s="124" t="s">
        <v>222</v>
      </c>
      <c r="H89" s="121"/>
      <c r="I89" s="121"/>
      <c r="J89" s="126">
        <v>1.2</v>
      </c>
      <c r="K89" s="121"/>
      <c r="L89" s="24">
        <f>B$65*J89+B$68+B$77</f>
        <v>27.084800000000001</v>
      </c>
      <c r="M89" s="24">
        <f>C$65*J89+C$68+C$77</f>
        <v>16.736000000000001</v>
      </c>
      <c r="O89" s="188" t="s">
        <v>301</v>
      </c>
      <c r="P89" s="188" t="s">
        <v>307</v>
      </c>
      <c r="Q89" s="197">
        <f>Q76</f>
        <v>4.6176000000000004</v>
      </c>
      <c r="R89" s="200">
        <f>R76</f>
        <v>3.552</v>
      </c>
    </row>
    <row r="90" spans="1:23" x14ac:dyDescent="0.25">
      <c r="F90" s="123">
        <v>9</v>
      </c>
      <c r="G90" s="124" t="s">
        <v>223</v>
      </c>
      <c r="H90" s="121"/>
      <c r="I90" s="121">
        <f>3/2</f>
        <v>1.5</v>
      </c>
      <c r="J90" s="126"/>
      <c r="K90" s="121"/>
      <c r="L90" s="24">
        <f>B$64*I90+B$68+B$77</f>
        <v>30.1646</v>
      </c>
      <c r="M90" s="24">
        <f>C$64*I90+C$68+C$77</f>
        <v>20.641999999999999</v>
      </c>
      <c r="O90" s="189" t="s">
        <v>301</v>
      </c>
      <c r="P90" s="185" t="s">
        <v>308</v>
      </c>
      <c r="Q90" s="196">
        <f>Q89</f>
        <v>4.6176000000000004</v>
      </c>
      <c r="R90" s="199">
        <f>R89</f>
        <v>3.552</v>
      </c>
    </row>
    <row r="91" spans="1:23" x14ac:dyDescent="0.25">
      <c r="F91" s="123">
        <v>10</v>
      </c>
      <c r="G91" s="124" t="s">
        <v>224</v>
      </c>
      <c r="H91" s="121">
        <f>I90</f>
        <v>1.5</v>
      </c>
      <c r="I91" s="121"/>
      <c r="J91" s="126"/>
      <c r="K91" s="121"/>
      <c r="L91" s="24">
        <f>B$64*H91+B$68+B$77</f>
        <v>30.1646</v>
      </c>
      <c r="M91" s="24">
        <f>C$64*H91+C$68+C$77</f>
        <v>20.641999999999999</v>
      </c>
      <c r="O91" s="187" t="s">
        <v>302</v>
      </c>
      <c r="P91" s="184" t="s">
        <v>309</v>
      </c>
      <c r="Q91" s="195">
        <f>Q73</f>
        <v>13.769600000000001</v>
      </c>
      <c r="R91" s="198">
        <f>R73</f>
        <v>10.592000000000001</v>
      </c>
    </row>
    <row r="92" spans="1:23" x14ac:dyDescent="0.25">
      <c r="F92" s="123">
        <v>13</v>
      </c>
      <c r="G92" s="124" t="s">
        <v>225</v>
      </c>
      <c r="H92" s="121"/>
      <c r="I92" s="121"/>
      <c r="J92" s="126">
        <v>1.2</v>
      </c>
      <c r="K92" s="121"/>
      <c r="L92" s="24">
        <f>B$65*J92+B$68+B$77</f>
        <v>27.084800000000001</v>
      </c>
      <c r="M92" s="24">
        <f>C$65*J92+C$68+C$77</f>
        <v>16.736000000000001</v>
      </c>
      <c r="O92" s="189" t="s">
        <v>302</v>
      </c>
      <c r="P92" s="185" t="s">
        <v>310</v>
      </c>
      <c r="Q92" s="196">
        <f>Q74</f>
        <v>13.769600000000001</v>
      </c>
      <c r="R92" s="199">
        <f>R74</f>
        <v>10.592000000000001</v>
      </c>
    </row>
    <row r="93" spans="1:23" ht="15.75" thickBot="1" x14ac:dyDescent="0.3"/>
    <row r="94" spans="1:23" ht="19.5" thickBot="1" x14ac:dyDescent="0.3">
      <c r="A94" s="129" t="s">
        <v>191</v>
      </c>
      <c r="B94" s="130" t="s">
        <v>192</v>
      </c>
      <c r="C94" s="245" t="s">
        <v>50</v>
      </c>
      <c r="D94" s="245"/>
      <c r="F94" s="250" t="s">
        <v>244</v>
      </c>
      <c r="G94" s="251"/>
      <c r="H94" s="251"/>
      <c r="I94" s="251"/>
      <c r="J94" s="251"/>
      <c r="K94" s="251"/>
      <c r="L94" s="251"/>
      <c r="M94" s="251"/>
      <c r="N94" s="251"/>
      <c r="O94" s="251"/>
      <c r="P94" s="251"/>
      <c r="Q94" s="251"/>
      <c r="R94" s="252"/>
      <c r="S94" s="142"/>
      <c r="T94" s="142"/>
      <c r="U94" s="142"/>
      <c r="V94" s="142"/>
      <c r="W94" s="142"/>
    </row>
    <row r="95" spans="1:23" ht="34.5" thickTop="1" thickBot="1" x14ac:dyDescent="0.3">
      <c r="A95" s="130" t="s">
        <v>193</v>
      </c>
      <c r="B95" s="131">
        <v>10.93</v>
      </c>
      <c r="C95" s="240">
        <v>6.6999999999999993</v>
      </c>
      <c r="D95" s="240"/>
      <c r="F95" s="133" t="s">
        <v>171</v>
      </c>
      <c r="G95" s="134" t="s">
        <v>172</v>
      </c>
      <c r="H95" s="138" t="s">
        <v>230</v>
      </c>
      <c r="I95" s="138" t="s">
        <v>231</v>
      </c>
      <c r="J95" s="138" t="s">
        <v>245</v>
      </c>
      <c r="K95" s="138" t="s">
        <v>229</v>
      </c>
      <c r="L95" s="135" t="s">
        <v>79</v>
      </c>
      <c r="M95" s="136" t="s">
        <v>80</v>
      </c>
      <c r="O95" s="140"/>
      <c r="P95" s="140"/>
      <c r="Q95" s="140"/>
      <c r="R95" s="140"/>
      <c r="S95" s="140"/>
      <c r="T95" s="140"/>
      <c r="U95" s="140"/>
      <c r="V95" s="140"/>
      <c r="W95" s="140"/>
    </row>
    <row r="96" spans="1:23" ht="16.5" thickTop="1" thickBot="1" x14ac:dyDescent="0.3">
      <c r="A96" s="130" t="s">
        <v>194</v>
      </c>
      <c r="B96" s="131">
        <v>11.096</v>
      </c>
      <c r="C96" s="240">
        <v>5.12</v>
      </c>
      <c r="D96" s="240"/>
      <c r="F96" s="123">
        <v>1</v>
      </c>
      <c r="G96" s="124" t="s">
        <v>212</v>
      </c>
      <c r="H96" s="126">
        <f>5/2</f>
        <v>2.5</v>
      </c>
      <c r="I96" s="126"/>
      <c r="J96" s="126">
        <v>0.75</v>
      </c>
      <c r="L96" s="24">
        <f>B110*$H$96+B111*$J$96+B100</f>
        <v>22.659000000000002</v>
      </c>
      <c r="M96" s="24">
        <f>C110*$H$96+C111*$J$96+C100</f>
        <v>16.155000000000001</v>
      </c>
      <c r="N96" s="126">
        <f t="shared" ref="N96" si="15">$B95*J96+$B96*L96+$B99+$B108</f>
        <v>273.39136400000001</v>
      </c>
      <c r="O96" s="19"/>
      <c r="P96" s="19"/>
      <c r="Q96" s="141"/>
      <c r="R96" s="141"/>
      <c r="S96" s="141"/>
      <c r="T96" s="141"/>
      <c r="U96" s="141"/>
      <c r="V96" s="128"/>
    </row>
    <row r="97" spans="1:22" ht="16.5" thickTop="1" thickBot="1" x14ac:dyDescent="0.3">
      <c r="A97" s="130" t="s">
        <v>195</v>
      </c>
      <c r="B97" s="132">
        <v>12.89</v>
      </c>
      <c r="C97" s="244">
        <v>6.5</v>
      </c>
      <c r="D97" s="244"/>
      <c r="F97" s="123"/>
      <c r="G97" s="124" t="s">
        <v>213</v>
      </c>
      <c r="H97" s="126">
        <f>5/2</f>
        <v>2.5</v>
      </c>
      <c r="I97" s="126"/>
      <c r="J97" s="126">
        <v>0.75</v>
      </c>
      <c r="K97" s="126"/>
      <c r="L97" s="24">
        <f>L96</f>
        <v>22.659000000000002</v>
      </c>
      <c r="M97" s="24">
        <f>M96</f>
        <v>16.155000000000001</v>
      </c>
      <c r="O97" s="247" t="s">
        <v>311</v>
      </c>
      <c r="P97" s="248"/>
      <c r="Q97" s="248"/>
      <c r="R97" s="249"/>
      <c r="S97" s="27"/>
      <c r="T97" s="27"/>
      <c r="U97" s="27"/>
      <c r="V97" s="127"/>
    </row>
    <row r="98" spans="1:22" ht="16.5" thickTop="1" thickBot="1" x14ac:dyDescent="0.3">
      <c r="A98" s="130" t="s">
        <v>232</v>
      </c>
      <c r="B98" s="131">
        <v>5.5926000000000018</v>
      </c>
      <c r="C98" s="240">
        <v>4.3020000000000014</v>
      </c>
      <c r="D98" s="240"/>
      <c r="F98" s="123"/>
      <c r="G98" s="124" t="s">
        <v>214</v>
      </c>
      <c r="H98" s="126">
        <f>5/2</f>
        <v>2.5</v>
      </c>
      <c r="I98" s="126"/>
      <c r="J98" s="126">
        <v>0.75</v>
      </c>
      <c r="K98" s="126"/>
      <c r="L98" s="24">
        <f>L97</f>
        <v>22.659000000000002</v>
      </c>
      <c r="M98" s="24">
        <f>M97</f>
        <v>16.155000000000001</v>
      </c>
      <c r="O98" s="185"/>
      <c r="P98" s="185"/>
      <c r="Q98" s="192" t="s">
        <v>280</v>
      </c>
      <c r="R98" s="194" t="s">
        <v>281</v>
      </c>
      <c r="S98" s="27"/>
      <c r="T98" s="27"/>
      <c r="U98" s="27"/>
    </row>
    <row r="99" spans="1:22" ht="16.5" thickTop="1" thickBot="1" x14ac:dyDescent="0.3">
      <c r="A99" s="130" t="s">
        <v>233</v>
      </c>
      <c r="B99" s="131">
        <v>4.6176000000000004</v>
      </c>
      <c r="C99" s="240">
        <v>3.552</v>
      </c>
      <c r="D99" s="240"/>
      <c r="F99" s="123"/>
      <c r="G99" s="124" t="s">
        <v>246</v>
      </c>
      <c r="H99" s="126"/>
      <c r="I99" s="126"/>
      <c r="J99" s="126">
        <v>0.75</v>
      </c>
      <c r="K99" s="126"/>
      <c r="L99" s="24">
        <f>B111*$J$99+B100</f>
        <v>10.285200000000001</v>
      </c>
      <c r="M99" s="24">
        <f>C111*$J$99+C100</f>
        <v>7.7040000000000006</v>
      </c>
      <c r="O99" s="183"/>
      <c r="P99" s="183"/>
      <c r="Q99" s="191">
        <f>B100</f>
        <v>3.6426000000000003</v>
      </c>
      <c r="R99" s="125">
        <f>C100</f>
        <v>2.802</v>
      </c>
      <c r="S99" s="27"/>
      <c r="T99" s="27"/>
      <c r="U99" s="27"/>
    </row>
    <row r="100" spans="1:22" ht="16.5" thickTop="1" thickBot="1" x14ac:dyDescent="0.3">
      <c r="A100" s="130" t="s">
        <v>234</v>
      </c>
      <c r="B100" s="131">
        <v>3.6426000000000003</v>
      </c>
      <c r="C100" s="240">
        <v>2.802</v>
      </c>
      <c r="D100" s="240"/>
      <c r="F100" s="123"/>
      <c r="G100" s="124" t="s">
        <v>215</v>
      </c>
      <c r="H100" s="126">
        <f>H98</f>
        <v>2.5</v>
      </c>
      <c r="I100" s="126"/>
      <c r="J100" s="126">
        <v>0.75</v>
      </c>
      <c r="K100" s="126"/>
      <c r="L100" s="24">
        <f>L98</f>
        <v>22.659000000000002</v>
      </c>
      <c r="M100" s="24">
        <f>M98</f>
        <v>16.155000000000001</v>
      </c>
      <c r="O100" s="184" t="s">
        <v>285</v>
      </c>
      <c r="P100" s="190" t="s">
        <v>282</v>
      </c>
      <c r="Q100" s="195">
        <f>Q99</f>
        <v>3.6426000000000003</v>
      </c>
      <c r="R100" s="198">
        <f>R99</f>
        <v>2.802</v>
      </c>
    </row>
    <row r="101" spans="1:22" ht="16.5" thickTop="1" thickBot="1" x14ac:dyDescent="0.3">
      <c r="A101" s="130" t="s">
        <v>235</v>
      </c>
      <c r="B101" s="131">
        <v>2.7378</v>
      </c>
      <c r="C101" s="240">
        <v>2.1059999999999999</v>
      </c>
      <c r="D101" s="240"/>
      <c r="F101" s="123"/>
      <c r="G101" s="124" t="s">
        <v>216</v>
      </c>
      <c r="H101" s="126">
        <f>H97</f>
        <v>2.5</v>
      </c>
      <c r="I101" s="126"/>
      <c r="J101" s="126">
        <f>J97</f>
        <v>0.75</v>
      </c>
      <c r="K101" s="126"/>
      <c r="L101" s="24">
        <f>L97</f>
        <v>22.659000000000002</v>
      </c>
      <c r="M101" s="24">
        <f>M98</f>
        <v>16.155000000000001</v>
      </c>
      <c r="O101" s="185" t="s">
        <v>285</v>
      </c>
      <c r="P101" s="185" t="s">
        <v>283</v>
      </c>
      <c r="Q101" s="196">
        <f>Q100</f>
        <v>3.6426000000000003</v>
      </c>
      <c r="R101" s="199">
        <f>R100</f>
        <v>2.802</v>
      </c>
    </row>
    <row r="102" spans="1:22" ht="16.5" thickTop="1" thickBot="1" x14ac:dyDescent="0.3">
      <c r="A102" s="130" t="s">
        <v>236</v>
      </c>
      <c r="B102" s="131">
        <v>16.38</v>
      </c>
      <c r="C102" s="240">
        <v>12.6</v>
      </c>
      <c r="D102" s="240"/>
      <c r="F102" s="123"/>
      <c r="G102" s="124" t="s">
        <v>217</v>
      </c>
      <c r="H102" s="126">
        <f>H96</f>
        <v>2.5</v>
      </c>
      <c r="I102" s="126"/>
      <c r="J102" s="126">
        <f>J96</f>
        <v>0.75</v>
      </c>
      <c r="K102" s="126"/>
      <c r="L102" s="24">
        <f>L96</f>
        <v>22.659000000000002</v>
      </c>
      <c r="M102" s="24">
        <f>M97</f>
        <v>16.155000000000001</v>
      </c>
      <c r="N102" s="126">
        <f>D$64*J103+D$64*K103+D$68</f>
        <v>0</v>
      </c>
      <c r="O102" s="184" t="s">
        <v>286</v>
      </c>
      <c r="P102" s="184" t="s">
        <v>287</v>
      </c>
      <c r="Q102" s="195">
        <f>B101</f>
        <v>2.7378</v>
      </c>
      <c r="R102" s="198">
        <f>C101</f>
        <v>2.1059999999999999</v>
      </c>
    </row>
    <row r="103" spans="1:22" ht="16.5" thickTop="1" thickBot="1" x14ac:dyDescent="0.3">
      <c r="A103" s="130" t="s">
        <v>237</v>
      </c>
      <c r="B103" s="131">
        <v>15.794999999999998</v>
      </c>
      <c r="C103" s="240">
        <v>12.149999999999999</v>
      </c>
      <c r="D103" s="240"/>
      <c r="F103" s="123">
        <v>2</v>
      </c>
      <c r="G103" s="124" t="s">
        <v>179</v>
      </c>
      <c r="H103" s="126">
        <f>4.3/2</f>
        <v>2.15</v>
      </c>
      <c r="I103" s="126">
        <f>5/2</f>
        <v>2.5</v>
      </c>
      <c r="J103" s="126"/>
      <c r="K103" s="126"/>
      <c r="L103" s="24">
        <f>B110*H103+B110*I103+B100</f>
        <v>26.657868000000001</v>
      </c>
      <c r="M103" s="24">
        <f>C110*H103+C110*I103+C100</f>
        <v>18.520859999999999</v>
      </c>
      <c r="O103" s="186" t="s">
        <v>286</v>
      </c>
      <c r="P103" s="186" t="s">
        <v>288</v>
      </c>
      <c r="Q103" s="197">
        <f>Q101</f>
        <v>3.6426000000000003</v>
      </c>
      <c r="R103" s="200">
        <f>R101</f>
        <v>2.802</v>
      </c>
    </row>
    <row r="104" spans="1:22" ht="16.5" thickTop="1" thickBot="1" x14ac:dyDescent="0.3">
      <c r="A104" s="130" t="s">
        <v>238</v>
      </c>
      <c r="B104" s="131">
        <v>18.427499999999998</v>
      </c>
      <c r="C104" s="240">
        <v>14.174999999999999</v>
      </c>
      <c r="D104" s="240"/>
      <c r="F104" s="123"/>
      <c r="G104" s="124" t="s">
        <v>180</v>
      </c>
      <c r="H104" s="126">
        <f>4.3/2</f>
        <v>2.15</v>
      </c>
      <c r="I104" s="126">
        <f>5/2</f>
        <v>2.5</v>
      </c>
      <c r="J104" s="126"/>
      <c r="K104" s="126"/>
      <c r="L104" s="24">
        <f>L103</f>
        <v>26.657868000000001</v>
      </c>
      <c r="M104" s="24">
        <f>M103</f>
        <v>18.520859999999999</v>
      </c>
      <c r="O104" s="185" t="s">
        <v>286</v>
      </c>
      <c r="P104" s="185" t="s">
        <v>289</v>
      </c>
      <c r="Q104" s="196">
        <f>Q103</f>
        <v>3.6426000000000003</v>
      </c>
      <c r="R104" s="199">
        <f>R103</f>
        <v>2.802</v>
      </c>
    </row>
    <row r="105" spans="1:22" ht="16.5" thickTop="1" thickBot="1" x14ac:dyDescent="0.3">
      <c r="A105" s="130" t="s">
        <v>239</v>
      </c>
      <c r="B105" s="131">
        <v>17.744999999999997</v>
      </c>
      <c r="C105" s="240">
        <v>13.649999999999999</v>
      </c>
      <c r="D105" s="240"/>
      <c r="F105" s="123"/>
      <c r="G105" s="124" t="s">
        <v>218</v>
      </c>
      <c r="H105" s="126">
        <f>4.3/2</f>
        <v>2.15</v>
      </c>
      <c r="I105" s="126">
        <f>5/2</f>
        <v>2.5</v>
      </c>
      <c r="J105" s="126"/>
      <c r="K105" s="126"/>
      <c r="L105" s="24">
        <f>L104</f>
        <v>26.657868000000001</v>
      </c>
      <c r="M105" s="24">
        <f>M104</f>
        <v>18.520859999999999</v>
      </c>
      <c r="O105" s="184" t="s">
        <v>290</v>
      </c>
      <c r="P105" s="184" t="s">
        <v>291</v>
      </c>
      <c r="Q105" s="195">
        <f>Q102</f>
        <v>2.7378</v>
      </c>
      <c r="R105" s="198">
        <f>R102</f>
        <v>2.1059999999999999</v>
      </c>
    </row>
    <row r="106" spans="1:22" ht="16.5" thickTop="1" thickBot="1" x14ac:dyDescent="0.3">
      <c r="A106" s="130" t="s">
        <v>240</v>
      </c>
      <c r="B106" s="131">
        <v>20.279999999999998</v>
      </c>
      <c r="C106" s="240">
        <v>15.599999999999998</v>
      </c>
      <c r="D106" s="240"/>
      <c r="F106" s="123"/>
      <c r="G106" s="123" t="s">
        <v>184</v>
      </c>
      <c r="H106" s="126">
        <f>4.3/2</f>
        <v>2.15</v>
      </c>
      <c r="I106" s="126"/>
      <c r="J106" s="126"/>
      <c r="K106" s="127"/>
      <c r="L106" s="24">
        <f>B110*H106+B101</f>
        <v>13.379268</v>
      </c>
      <c r="M106" s="24">
        <f>C110*H106+C101</f>
        <v>9.3738600000000005</v>
      </c>
      <c r="O106" s="186" t="s">
        <v>290</v>
      </c>
      <c r="P106" s="186" t="s">
        <v>292</v>
      </c>
      <c r="Q106" s="197">
        <f>Q105</f>
        <v>2.7378</v>
      </c>
      <c r="R106" s="200">
        <f>R105</f>
        <v>2.1059999999999999</v>
      </c>
    </row>
    <row r="107" spans="1:22" ht="16.5" thickTop="1" thickBot="1" x14ac:dyDescent="0.3">
      <c r="A107" s="130" t="s">
        <v>241</v>
      </c>
      <c r="B107" s="131">
        <v>22.619999999999997</v>
      </c>
      <c r="C107" s="240">
        <v>17.399999999999999</v>
      </c>
      <c r="D107" s="240"/>
      <c r="F107" s="123"/>
      <c r="G107" s="124" t="s">
        <v>185</v>
      </c>
      <c r="H107" s="126">
        <f>H105</f>
        <v>2.15</v>
      </c>
      <c r="I107" s="126">
        <f>I105</f>
        <v>2.5</v>
      </c>
      <c r="J107" s="126"/>
      <c r="K107" s="126"/>
      <c r="L107" s="24">
        <f>L105</f>
        <v>26.657868000000001</v>
      </c>
      <c r="M107" s="24">
        <f>M105</f>
        <v>18.520859999999999</v>
      </c>
      <c r="O107" s="185" t="s">
        <v>290</v>
      </c>
      <c r="P107" s="185" t="s">
        <v>293</v>
      </c>
      <c r="Q107" s="196">
        <f>Q99</f>
        <v>3.6426000000000003</v>
      </c>
      <c r="R107" s="199">
        <f>R101</f>
        <v>2.802</v>
      </c>
    </row>
    <row r="108" spans="1:22" ht="16.5" thickTop="1" thickBot="1" x14ac:dyDescent="0.3">
      <c r="A108" s="130" t="s">
        <v>206</v>
      </c>
      <c r="B108" s="131">
        <v>9.152000000000001</v>
      </c>
      <c r="C108" s="244">
        <v>7.0400000000000009</v>
      </c>
      <c r="D108" s="244"/>
      <c r="F108" s="123"/>
      <c r="G108" s="124" t="s">
        <v>219</v>
      </c>
      <c r="H108" s="126">
        <f>H104</f>
        <v>2.15</v>
      </c>
      <c r="I108" s="126">
        <f>I104</f>
        <v>2.5</v>
      </c>
      <c r="J108" s="126"/>
      <c r="K108" s="126"/>
      <c r="L108" s="24">
        <f>L107</f>
        <v>26.657868000000001</v>
      </c>
      <c r="M108" s="24">
        <f>M107</f>
        <v>18.520859999999999</v>
      </c>
      <c r="O108" s="184" t="s">
        <v>294</v>
      </c>
      <c r="P108" s="184" t="s">
        <v>296</v>
      </c>
      <c r="Q108" s="195">
        <f>Q103</f>
        <v>3.6426000000000003</v>
      </c>
      <c r="R108" s="198">
        <f>R103</f>
        <v>2.802</v>
      </c>
    </row>
    <row r="109" spans="1:22" ht="16.5" thickTop="1" thickBot="1" x14ac:dyDescent="0.3">
      <c r="A109" s="130" t="s">
        <v>207</v>
      </c>
      <c r="B109" s="131">
        <v>4.3264000000000005</v>
      </c>
      <c r="C109" s="240">
        <v>3.3280000000000003</v>
      </c>
      <c r="D109" s="240"/>
      <c r="F109" s="123"/>
      <c r="G109" s="124" t="s">
        <v>186</v>
      </c>
      <c r="H109" s="126">
        <f>H103</f>
        <v>2.15</v>
      </c>
      <c r="I109" s="126">
        <f>I103</f>
        <v>2.5</v>
      </c>
      <c r="J109" s="126"/>
      <c r="K109" s="126"/>
      <c r="L109" s="24">
        <f>L108</f>
        <v>26.657868000000001</v>
      </c>
      <c r="M109" s="24">
        <f>M108</f>
        <v>18.520859999999999</v>
      </c>
      <c r="O109" s="185" t="s">
        <v>294</v>
      </c>
      <c r="P109" s="185" t="s">
        <v>297</v>
      </c>
      <c r="Q109" s="196">
        <f t="shared" ref="Q109:R111" si="16">Q108</f>
        <v>3.6426000000000003</v>
      </c>
      <c r="R109" s="199">
        <f t="shared" si="16"/>
        <v>2.802</v>
      </c>
    </row>
    <row r="110" spans="1:22" ht="16.5" thickTop="1" thickBot="1" x14ac:dyDescent="0.3">
      <c r="A110" s="130" t="s">
        <v>70</v>
      </c>
      <c r="B110" s="131">
        <v>4.9495199999999997</v>
      </c>
      <c r="C110" s="240">
        <v>3.3803999999999998</v>
      </c>
      <c r="D110" s="240"/>
      <c r="F110" s="123">
        <v>3</v>
      </c>
      <c r="G110" s="124" t="s">
        <v>174</v>
      </c>
      <c r="H110" s="126">
        <f>3/2</f>
        <v>1.5</v>
      </c>
      <c r="I110" s="126">
        <f>4.3/2</f>
        <v>2.15</v>
      </c>
      <c r="J110" s="126"/>
      <c r="K110" s="126"/>
      <c r="L110" s="24">
        <f>B110*$H$110+B110*$I$110+B101</f>
        <v>20.803547999999999</v>
      </c>
      <c r="M110" s="24">
        <f>C110*$H$110+C110*$I$110+C101</f>
        <v>14.444459999999999</v>
      </c>
      <c r="O110" s="184" t="s">
        <v>295</v>
      </c>
      <c r="P110" s="184" t="s">
        <v>298</v>
      </c>
      <c r="Q110" s="195">
        <f t="shared" si="16"/>
        <v>3.6426000000000003</v>
      </c>
      <c r="R110" s="198">
        <f t="shared" si="16"/>
        <v>2.802</v>
      </c>
    </row>
    <row r="111" spans="1:22" ht="16.5" thickTop="1" thickBot="1" x14ac:dyDescent="0.3">
      <c r="A111" s="130" t="s">
        <v>71</v>
      </c>
      <c r="B111" s="131">
        <v>8.8568000000000016</v>
      </c>
      <c r="C111" s="240">
        <v>6.5360000000000005</v>
      </c>
      <c r="D111" s="240"/>
      <c r="F111" s="123"/>
      <c r="G111" s="124" t="s">
        <v>176</v>
      </c>
      <c r="H111" s="126">
        <f>3/2</f>
        <v>1.5</v>
      </c>
      <c r="I111" s="126">
        <f>4.3/2</f>
        <v>2.15</v>
      </c>
      <c r="J111" s="126"/>
      <c r="K111" s="126"/>
      <c r="L111" s="24">
        <f>L110</f>
        <v>20.803547999999999</v>
      </c>
      <c r="M111" s="24">
        <f>M110</f>
        <v>14.444459999999999</v>
      </c>
      <c r="O111" s="185" t="s">
        <v>295</v>
      </c>
      <c r="P111" s="185" t="s">
        <v>299</v>
      </c>
      <c r="Q111" s="196">
        <f t="shared" si="16"/>
        <v>3.6426000000000003</v>
      </c>
      <c r="R111" s="199">
        <f t="shared" si="16"/>
        <v>2.802</v>
      </c>
    </row>
    <row r="112" spans="1:22" ht="15.75" thickTop="1" x14ac:dyDescent="0.25">
      <c r="F112" s="123"/>
      <c r="G112" s="124" t="s">
        <v>181</v>
      </c>
      <c r="H112" s="24">
        <f>3/2</f>
        <v>1.5</v>
      </c>
      <c r="I112" s="126">
        <f>4.3/2</f>
        <v>2.15</v>
      </c>
      <c r="J112" s="126"/>
      <c r="K112" s="126"/>
      <c r="L112" s="24">
        <f>B110*$I$112+B110*$H$112+B100</f>
        <v>21.708348000000001</v>
      </c>
      <c r="M112" s="24">
        <f>C110*$I$112+C110*$H$112+C100</f>
        <v>15.140459999999999</v>
      </c>
      <c r="O112" s="187" t="s">
        <v>300</v>
      </c>
      <c r="P112" s="184" t="s">
        <v>303</v>
      </c>
      <c r="Q112" s="195">
        <f>Q105</f>
        <v>2.7378</v>
      </c>
      <c r="R112" s="198">
        <f>R105</f>
        <v>2.1059999999999999</v>
      </c>
    </row>
    <row r="113" spans="6:18" x14ac:dyDescent="0.25">
      <c r="F113" s="123"/>
      <c r="G113" s="124" t="s">
        <v>182</v>
      </c>
      <c r="H113" s="126">
        <f>4.3/2</f>
        <v>2.15</v>
      </c>
      <c r="I113" s="126">
        <f>3/2</f>
        <v>1.5</v>
      </c>
      <c r="J113" s="126"/>
      <c r="K113" s="127"/>
      <c r="L113" s="24">
        <f>B110*$H$113+B110*$I$113+B100</f>
        <v>21.708348000000001</v>
      </c>
      <c r="M113" s="24">
        <f>C110*$H$113+C110*$I$113+C100</f>
        <v>15.140459999999999</v>
      </c>
      <c r="O113" s="188" t="s">
        <v>300</v>
      </c>
      <c r="P113" s="188" t="s">
        <v>304</v>
      </c>
      <c r="Q113" s="197">
        <f>Q112</f>
        <v>2.7378</v>
      </c>
      <c r="R113" s="200">
        <f>R112</f>
        <v>2.1059999999999999</v>
      </c>
    </row>
    <row r="114" spans="6:18" x14ac:dyDescent="0.25">
      <c r="F114" s="123"/>
      <c r="G114" s="124" t="s">
        <v>220</v>
      </c>
      <c r="H114" s="126">
        <f>3/2</f>
        <v>1.5</v>
      </c>
      <c r="I114" s="126">
        <f>I112</f>
        <v>2.15</v>
      </c>
      <c r="J114" s="126"/>
      <c r="K114" s="126"/>
      <c r="L114" s="24">
        <f>L113</f>
        <v>21.708348000000001</v>
      </c>
      <c r="M114" s="24">
        <f>M113</f>
        <v>15.140459999999999</v>
      </c>
      <c r="O114" s="189" t="s">
        <v>300</v>
      </c>
      <c r="P114" s="185" t="s">
        <v>305</v>
      </c>
      <c r="Q114" s="196">
        <f>Q107</f>
        <v>3.6426000000000003</v>
      </c>
      <c r="R114" s="199">
        <f>R107</f>
        <v>2.802</v>
      </c>
    </row>
    <row r="115" spans="6:18" x14ac:dyDescent="0.25">
      <c r="F115" s="123"/>
      <c r="G115" s="124" t="s">
        <v>183</v>
      </c>
      <c r="H115" s="126">
        <f>H111</f>
        <v>1.5</v>
      </c>
      <c r="I115" s="126">
        <f>I111</f>
        <v>2.15</v>
      </c>
      <c r="J115" s="126"/>
      <c r="K115" s="126"/>
      <c r="L115" s="24">
        <f>L111</f>
        <v>20.803547999999999</v>
      </c>
      <c r="M115" s="24">
        <f>M111</f>
        <v>14.444459999999999</v>
      </c>
      <c r="O115" s="187" t="s">
        <v>301</v>
      </c>
      <c r="P115" s="184" t="s">
        <v>306</v>
      </c>
      <c r="Q115" s="195">
        <f>Q102</f>
        <v>2.7378</v>
      </c>
      <c r="R115" s="198">
        <f>R102</f>
        <v>2.1059999999999999</v>
      </c>
    </row>
    <row r="116" spans="6:18" x14ac:dyDescent="0.25">
      <c r="F116" s="123"/>
      <c r="G116" s="124" t="s">
        <v>177</v>
      </c>
      <c r="H116" s="126">
        <f>H110</f>
        <v>1.5</v>
      </c>
      <c r="I116" s="126">
        <f>I110</f>
        <v>2.15</v>
      </c>
      <c r="J116" s="126"/>
      <c r="K116" s="126"/>
      <c r="L116" s="24">
        <f>L115</f>
        <v>20.803547999999999</v>
      </c>
      <c r="M116" s="24">
        <f>M110</f>
        <v>14.444459999999999</v>
      </c>
      <c r="O116" s="188" t="s">
        <v>301</v>
      </c>
      <c r="P116" s="188" t="s">
        <v>307</v>
      </c>
      <c r="Q116" s="197">
        <f>Q103</f>
        <v>3.6426000000000003</v>
      </c>
      <c r="R116" s="200">
        <f>R103</f>
        <v>2.802</v>
      </c>
    </row>
    <row r="117" spans="6:18" x14ac:dyDescent="0.25">
      <c r="F117" s="123">
        <v>4</v>
      </c>
      <c r="G117" s="124" t="s">
        <v>173</v>
      </c>
      <c r="H117" s="126">
        <v>0.75</v>
      </c>
      <c r="I117" s="126">
        <f>3/2</f>
        <v>1.5</v>
      </c>
      <c r="J117" s="126"/>
      <c r="K117" s="126"/>
      <c r="L117" s="24">
        <f>B110*$I$117+B111*$H$117+B100</f>
        <v>17.709480000000003</v>
      </c>
      <c r="M117" s="24">
        <f>C110*$I$117+C111*$H$117+C100</f>
        <v>12.7746</v>
      </c>
      <c r="O117" s="189" t="s">
        <v>301</v>
      </c>
      <c r="P117" s="185" t="s">
        <v>308</v>
      </c>
      <c r="Q117" s="196">
        <f>Q116</f>
        <v>3.6426000000000003</v>
      </c>
      <c r="R117" s="199">
        <f>R116</f>
        <v>2.802</v>
      </c>
    </row>
    <row r="118" spans="6:18" x14ac:dyDescent="0.25">
      <c r="F118" s="123"/>
      <c r="G118" s="124" t="s">
        <v>175</v>
      </c>
      <c r="H118" s="126">
        <v>0.75</v>
      </c>
      <c r="I118" s="126">
        <f>3/2</f>
        <v>1.5</v>
      </c>
      <c r="J118" s="126"/>
      <c r="K118" s="126"/>
      <c r="L118" s="24">
        <f>L117</f>
        <v>17.709480000000003</v>
      </c>
      <c r="M118" s="24">
        <f>M117</f>
        <v>12.7746</v>
      </c>
      <c r="O118" s="187" t="s">
        <v>302</v>
      </c>
      <c r="P118" s="184" t="s">
        <v>309</v>
      </c>
      <c r="Q118" s="195">
        <f>Q100</f>
        <v>3.6426000000000003</v>
      </c>
      <c r="R118" s="198">
        <f>R100</f>
        <v>2.802</v>
      </c>
    </row>
    <row r="119" spans="6:18" x14ac:dyDescent="0.25">
      <c r="F119" s="123" t="s">
        <v>247</v>
      </c>
      <c r="G119" s="124" t="s">
        <v>248</v>
      </c>
      <c r="H119" s="126">
        <v>0.75</v>
      </c>
      <c r="I119" s="126">
        <f>3/2</f>
        <v>1.5</v>
      </c>
      <c r="J119" s="126"/>
      <c r="K119" s="126"/>
      <c r="L119" s="24">
        <f>B110*$I$119+B111*$H$119+B100</f>
        <v>17.709480000000003</v>
      </c>
      <c r="M119" s="24">
        <f>C110*$I$119+C111*$H$119+C100</f>
        <v>12.7746</v>
      </c>
      <c r="O119" s="189" t="s">
        <v>302</v>
      </c>
      <c r="P119" s="185" t="s">
        <v>310</v>
      </c>
      <c r="Q119" s="196">
        <f>Q101</f>
        <v>3.6426000000000003</v>
      </c>
      <c r="R119" s="199">
        <f>R101</f>
        <v>2.802</v>
      </c>
    </row>
    <row r="120" spans="6:18" x14ac:dyDescent="0.25">
      <c r="F120" s="123">
        <v>5</v>
      </c>
      <c r="G120" s="124" t="s">
        <v>178</v>
      </c>
      <c r="H120" s="126">
        <v>0.75</v>
      </c>
      <c r="I120" s="126">
        <f>I118</f>
        <v>1.5</v>
      </c>
      <c r="J120" s="126"/>
      <c r="K120" s="126"/>
      <c r="L120" s="24">
        <f>L118</f>
        <v>17.709480000000003</v>
      </c>
      <c r="M120" s="24">
        <f>M118</f>
        <v>12.7746</v>
      </c>
    </row>
    <row r="121" spans="6:18" x14ac:dyDescent="0.25">
      <c r="F121" s="123"/>
      <c r="G121" s="124" t="s">
        <v>221</v>
      </c>
      <c r="H121" s="126">
        <v>0.75</v>
      </c>
      <c r="I121" s="126">
        <f>I117</f>
        <v>1.5</v>
      </c>
      <c r="J121" s="126"/>
      <c r="K121" s="126"/>
      <c r="L121" s="24">
        <f>L117</f>
        <v>17.709480000000003</v>
      </c>
      <c r="M121" s="24">
        <f>M117</f>
        <v>12.7746</v>
      </c>
    </row>
    <row r="122" spans="6:18" x14ac:dyDescent="0.25">
      <c r="F122" s="123">
        <v>6</v>
      </c>
      <c r="G122" s="124" t="s">
        <v>222</v>
      </c>
      <c r="H122" s="126">
        <v>0.75</v>
      </c>
      <c r="I122" s="126"/>
      <c r="J122" s="126"/>
      <c r="K122" s="126"/>
      <c r="L122" s="24">
        <f>B111*$H$122+B100</f>
        <v>10.285200000000001</v>
      </c>
      <c r="M122" s="24">
        <f>C111*$H$122+C100</f>
        <v>7.7040000000000006</v>
      </c>
    </row>
    <row r="123" spans="6:18" x14ac:dyDescent="0.25">
      <c r="F123" s="123"/>
      <c r="G123" s="124" t="s">
        <v>249</v>
      </c>
      <c r="H123" s="126">
        <v>0.75</v>
      </c>
      <c r="I123" s="126"/>
      <c r="J123" s="126"/>
      <c r="K123" s="126"/>
      <c r="L123" s="24">
        <f>L122</f>
        <v>10.285200000000001</v>
      </c>
      <c r="M123" s="24">
        <f>M122</f>
        <v>7.7040000000000006</v>
      </c>
    </row>
    <row r="124" spans="6:18" x14ac:dyDescent="0.25">
      <c r="F124" s="123"/>
      <c r="G124" s="124" t="s">
        <v>250</v>
      </c>
      <c r="H124" s="126">
        <v>0.75</v>
      </c>
      <c r="I124" s="126"/>
      <c r="J124" s="126"/>
      <c r="K124" s="126"/>
      <c r="L124" s="24">
        <f>L123</f>
        <v>10.285200000000001</v>
      </c>
      <c r="M124" s="24">
        <f>M123</f>
        <v>7.7040000000000006</v>
      </c>
    </row>
    <row r="125" spans="6:18" x14ac:dyDescent="0.25">
      <c r="F125" s="123">
        <v>9</v>
      </c>
      <c r="G125" s="124" t="s">
        <v>223</v>
      </c>
      <c r="H125" s="126"/>
      <c r="I125" s="126">
        <f>3/2</f>
        <v>1.5</v>
      </c>
      <c r="J125" s="126"/>
      <c r="K125" s="126"/>
      <c r="L125" s="24">
        <f>B110*$I$125+B100</f>
        <v>11.066879999999999</v>
      </c>
      <c r="M125" s="24">
        <f>C110*$I$125+C100</f>
        <v>7.8726000000000003</v>
      </c>
    </row>
    <row r="126" spans="6:18" x14ac:dyDescent="0.25">
      <c r="F126" s="123">
        <v>10</v>
      </c>
      <c r="G126" s="124" t="s">
        <v>224</v>
      </c>
      <c r="H126" s="126">
        <f>3/2</f>
        <v>1.5</v>
      </c>
      <c r="I126" s="126"/>
      <c r="J126" s="126"/>
      <c r="K126" s="126"/>
      <c r="L126" s="24">
        <f>B110*$H$126+B100</f>
        <v>11.066879999999999</v>
      </c>
      <c r="M126" s="24">
        <f>C110*$H$126+C100</f>
        <v>7.8726000000000003</v>
      </c>
    </row>
    <row r="127" spans="6:18" x14ac:dyDescent="0.25">
      <c r="F127" s="123">
        <v>13</v>
      </c>
      <c r="G127" s="124" t="s">
        <v>225</v>
      </c>
      <c r="H127" s="126">
        <v>0.75</v>
      </c>
      <c r="I127" s="126"/>
      <c r="J127" s="126"/>
      <c r="K127" s="126"/>
      <c r="L127" s="24">
        <f>L124</f>
        <v>10.285200000000001</v>
      </c>
      <c r="M127" s="24">
        <f>M124</f>
        <v>7.7040000000000006</v>
      </c>
    </row>
    <row r="128" spans="6:18" x14ac:dyDescent="0.25">
      <c r="F128" s="123"/>
      <c r="G128" s="124" t="s">
        <v>251</v>
      </c>
      <c r="H128" s="126">
        <v>0.75</v>
      </c>
      <c r="I128" s="126"/>
      <c r="J128" s="126"/>
      <c r="K128" s="126"/>
      <c r="L128" s="24">
        <f>L127</f>
        <v>10.285200000000001</v>
      </c>
      <c r="M128" s="24">
        <f>M127</f>
        <v>7.7040000000000006</v>
      </c>
    </row>
    <row r="129" spans="6:13" x14ac:dyDescent="0.25">
      <c r="F129" s="123"/>
      <c r="G129" s="124" t="s">
        <v>252</v>
      </c>
      <c r="H129" s="126">
        <v>0.75</v>
      </c>
      <c r="I129" s="126"/>
      <c r="J129" s="126"/>
      <c r="K129" s="126"/>
      <c r="L129" s="24">
        <f>L128</f>
        <v>10.285200000000001</v>
      </c>
      <c r="M129" s="24">
        <f>M128</f>
        <v>7.7040000000000006</v>
      </c>
    </row>
  </sheetData>
  <mergeCells count="83">
    <mergeCell ref="C80:D80"/>
    <mergeCell ref="C73:D73"/>
    <mergeCell ref="C74:D74"/>
    <mergeCell ref="C75:D75"/>
    <mergeCell ref="C76:D76"/>
    <mergeCell ref="C77:D77"/>
    <mergeCell ref="C78:D78"/>
    <mergeCell ref="C79:D79"/>
    <mergeCell ref="C68:D68"/>
    <mergeCell ref="C69:D69"/>
    <mergeCell ref="C70:D70"/>
    <mergeCell ref="C71:D71"/>
    <mergeCell ref="C72:D72"/>
    <mergeCell ref="C63:D63"/>
    <mergeCell ref="C64:D64"/>
    <mergeCell ref="C65:D65"/>
    <mergeCell ref="C66:D66"/>
    <mergeCell ref="C67:D67"/>
    <mergeCell ref="C44:D44"/>
    <mergeCell ref="C39:D39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O2:W2"/>
    <mergeCell ref="F1:W1"/>
    <mergeCell ref="C40:D40"/>
    <mergeCell ref="C41:D41"/>
    <mergeCell ref="C36:D36"/>
    <mergeCell ref="C37:D37"/>
    <mergeCell ref="C38:D38"/>
    <mergeCell ref="C1:D1"/>
    <mergeCell ref="C2:D2"/>
    <mergeCell ref="C3:D3"/>
    <mergeCell ref="C16:D16"/>
    <mergeCell ref="C17:D17"/>
    <mergeCell ref="C18:D18"/>
    <mergeCell ref="O8:R8"/>
    <mergeCell ref="O39:R39"/>
    <mergeCell ref="O33:W33"/>
    <mergeCell ref="F32:W32"/>
    <mergeCell ref="O64:W64"/>
    <mergeCell ref="F63:W63"/>
    <mergeCell ref="C94:D94"/>
    <mergeCell ref="C32:D32"/>
    <mergeCell ref="C33:D33"/>
    <mergeCell ref="C34:D34"/>
    <mergeCell ref="C35:D35"/>
    <mergeCell ref="C48:D48"/>
    <mergeCell ref="C49:D49"/>
    <mergeCell ref="C45:D45"/>
    <mergeCell ref="C46:D46"/>
    <mergeCell ref="C47:D47"/>
    <mergeCell ref="C42:D42"/>
    <mergeCell ref="C43:D43"/>
    <mergeCell ref="O70:R70"/>
    <mergeCell ref="C111:D111"/>
    <mergeCell ref="C104:D104"/>
    <mergeCell ref="C105:D105"/>
    <mergeCell ref="C106:D106"/>
    <mergeCell ref="C107:D107"/>
    <mergeCell ref="C108:D108"/>
    <mergeCell ref="O97:R97"/>
    <mergeCell ref="F94:R94"/>
    <mergeCell ref="C109:D109"/>
    <mergeCell ref="C110:D110"/>
    <mergeCell ref="C99:D99"/>
    <mergeCell ref="C100:D100"/>
    <mergeCell ref="C101:D101"/>
    <mergeCell ref="C102:D102"/>
    <mergeCell ref="C103:D103"/>
    <mergeCell ref="C95:D95"/>
    <mergeCell ref="C96:D96"/>
    <mergeCell ref="C97:D97"/>
    <mergeCell ref="C98:D98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Z35"/>
  <sheetViews>
    <sheetView topLeftCell="B7" zoomScale="70" zoomScaleNormal="70" workbookViewId="0">
      <selection activeCell="C22" sqref="C22"/>
    </sheetView>
  </sheetViews>
  <sheetFormatPr defaultRowHeight="15" x14ac:dyDescent="0.25"/>
  <cols>
    <col min="1" max="1" width="26" customWidth="1"/>
    <col min="2" max="2" width="28.42578125" customWidth="1"/>
    <col min="3" max="3" width="27.140625" bestFit="1" customWidth="1"/>
    <col min="4" max="4" width="27.140625" customWidth="1"/>
    <col min="5" max="5" width="16" customWidth="1"/>
    <col min="6" max="6" width="27.7109375" bestFit="1" customWidth="1"/>
    <col min="7" max="7" width="26.85546875" bestFit="1" customWidth="1"/>
    <col min="8" max="8" width="28.5703125" bestFit="1" customWidth="1"/>
    <col min="9" max="9" width="27.7109375" bestFit="1" customWidth="1"/>
    <col min="10" max="10" width="15.85546875" customWidth="1"/>
    <col min="11" max="11" width="9.42578125" bestFit="1" customWidth="1"/>
    <col min="12" max="12" width="15.5703125" bestFit="1" customWidth="1"/>
    <col min="13" max="13" width="22.140625" bestFit="1" customWidth="1"/>
    <col min="14" max="14" width="20.85546875" bestFit="1" customWidth="1"/>
    <col min="15" max="15" width="9.7109375" bestFit="1" customWidth="1"/>
    <col min="16" max="16" width="16" customWidth="1"/>
    <col min="17" max="17" width="22.140625" bestFit="1" customWidth="1"/>
    <col min="18" max="18" width="14.42578125" customWidth="1"/>
    <col min="19" max="19" width="15.28515625" customWidth="1"/>
    <col min="20" max="20" width="15.85546875" customWidth="1"/>
    <col min="21" max="21" width="9.7109375" customWidth="1"/>
    <col min="22" max="22" width="14.28515625" customWidth="1"/>
    <col min="23" max="23" width="22.85546875" customWidth="1"/>
  </cols>
  <sheetData>
    <row r="1" spans="1:26" ht="33.75" x14ac:dyDescent="0.25">
      <c r="A1" s="13"/>
      <c r="B1" s="19" t="s">
        <v>49</v>
      </c>
      <c r="C1" s="19" t="s">
        <v>50</v>
      </c>
      <c r="D1" s="14"/>
      <c r="E1" s="19" t="s">
        <v>53</v>
      </c>
      <c r="F1" s="21" t="s">
        <v>61</v>
      </c>
      <c r="G1" s="21" t="s">
        <v>62</v>
      </c>
      <c r="H1" s="21" t="s">
        <v>63</v>
      </c>
      <c r="I1" s="21" t="s">
        <v>64</v>
      </c>
      <c r="J1" s="21" t="s">
        <v>79</v>
      </c>
      <c r="K1" s="21" t="s">
        <v>80</v>
      </c>
      <c r="L1" s="21" t="s">
        <v>65</v>
      </c>
      <c r="M1" s="21" t="s">
        <v>59</v>
      </c>
      <c r="N1" s="21" t="s">
        <v>58</v>
      </c>
      <c r="O1" s="44" t="s">
        <v>60</v>
      </c>
      <c r="Q1" s="32" t="s">
        <v>73</v>
      </c>
      <c r="R1" s="33" t="s">
        <v>75</v>
      </c>
      <c r="S1" s="33" t="s">
        <v>76</v>
      </c>
      <c r="T1" s="33" t="s">
        <v>93</v>
      </c>
      <c r="U1" s="34" t="s">
        <v>72</v>
      </c>
      <c r="V1" s="35" t="s">
        <v>77</v>
      </c>
    </row>
    <row r="2" spans="1:26" x14ac:dyDescent="0.25">
      <c r="A2" s="19" t="s">
        <v>67</v>
      </c>
      <c r="B2" s="27">
        <v>10.93</v>
      </c>
      <c r="C2" s="27">
        <v>6.7</v>
      </c>
      <c r="D2" s="257" t="s">
        <v>155</v>
      </c>
      <c r="E2" s="19" t="s">
        <v>54</v>
      </c>
      <c r="F2" s="24">
        <v>3</v>
      </c>
      <c r="G2" s="24">
        <f>4.7</f>
        <v>4.7</v>
      </c>
      <c r="H2" s="24">
        <f>0.5*F2</f>
        <v>1.5</v>
      </c>
      <c r="I2" s="24">
        <f>0.5*G2</f>
        <v>2.35</v>
      </c>
      <c r="J2" s="24">
        <f>(B2*H2)+(B2*I2)</f>
        <v>42.080500000000001</v>
      </c>
      <c r="K2" s="24">
        <f>(C2*H2)+(C2*I2)</f>
        <v>25.795000000000002</v>
      </c>
      <c r="L2" s="24">
        <v>4.5999999999999996</v>
      </c>
      <c r="M2" s="24">
        <f>(J2*(L2)^2)/10</f>
        <v>89.042337999999987</v>
      </c>
      <c r="N2" s="24">
        <f>(K2*(L2)^2)/10</f>
        <v>54.582219999999992</v>
      </c>
      <c r="O2" s="45">
        <f>M2</f>
        <v>89.042337999999987</v>
      </c>
      <c r="Q2" s="36" t="s">
        <v>48</v>
      </c>
      <c r="R2" s="37">
        <f>0.04</f>
        <v>0.04</v>
      </c>
      <c r="S2" s="38">
        <f>(O2*(U2^2))/(T2^2)</f>
        <v>0.89042337999999976</v>
      </c>
      <c r="T2" s="37">
        <f>V2-R2</f>
        <v>0.18</v>
      </c>
      <c r="U2" s="37">
        <f>0.018</f>
        <v>1.7999999999999999E-2</v>
      </c>
      <c r="V2" s="39">
        <v>0.22</v>
      </c>
    </row>
    <row r="3" spans="1:26" ht="15.75" thickBot="1" x14ac:dyDescent="0.3">
      <c r="A3" s="19" t="s">
        <v>68</v>
      </c>
      <c r="B3" s="27">
        <v>11.1</v>
      </c>
      <c r="C3" s="27">
        <v>5.12</v>
      </c>
      <c r="D3" s="257"/>
      <c r="E3" s="19" t="s">
        <v>55</v>
      </c>
      <c r="F3" s="24">
        <f>4.7</f>
        <v>4.7</v>
      </c>
      <c r="G3" s="24">
        <f>5</f>
        <v>5</v>
      </c>
      <c r="H3" s="24">
        <f t="shared" ref="H3:H4" si="0">0.5*F3</f>
        <v>2.35</v>
      </c>
      <c r="I3" s="24">
        <f t="shared" ref="I3:I5" si="1">0.5*G3</f>
        <v>2.5</v>
      </c>
      <c r="J3" s="24">
        <f>(B2*H3)+(B2*I3)</f>
        <v>53.0105</v>
      </c>
      <c r="K3" s="24">
        <f>(C2*H3)+(C2*I3)</f>
        <v>32.495000000000005</v>
      </c>
      <c r="L3" s="24">
        <f t="shared" ref="L3:L4" si="2">4.6</f>
        <v>4.5999999999999996</v>
      </c>
      <c r="M3" s="24">
        <f>(J3*(L3)^2)/10</f>
        <v>112.17021799999998</v>
      </c>
      <c r="N3" s="24">
        <f t="shared" ref="N3:N5" si="3">(K3*(L3)^2)/10</f>
        <v>68.759420000000006</v>
      </c>
      <c r="O3" s="45">
        <f>N3+'caratteristiche della sollecita'!N9</f>
        <v>280.63915000975146</v>
      </c>
      <c r="Q3" s="40" t="s">
        <v>74</v>
      </c>
      <c r="R3" s="41">
        <f>0.04</f>
        <v>0.04</v>
      </c>
      <c r="S3" s="41">
        <v>0.3</v>
      </c>
      <c r="T3" s="42">
        <f>U3*(SQRT(O4/S3))</f>
        <v>0.58716164439840401</v>
      </c>
      <c r="U3" s="41">
        <f>0.018</f>
        <v>1.7999999999999999E-2</v>
      </c>
      <c r="V3" s="43">
        <f>T3+R3</f>
        <v>0.62716164439840405</v>
      </c>
    </row>
    <row r="4" spans="1:26" x14ac:dyDescent="0.25">
      <c r="A4" s="19" t="s">
        <v>69</v>
      </c>
      <c r="B4" s="27">
        <v>12.89</v>
      </c>
      <c r="C4" s="27">
        <v>6.5</v>
      </c>
      <c r="D4" s="257"/>
      <c r="E4" s="19" t="s">
        <v>56</v>
      </c>
      <c r="F4" s="24">
        <v>5</v>
      </c>
      <c r="G4" s="24">
        <v>1.35</v>
      </c>
      <c r="H4" s="24">
        <f t="shared" si="0"/>
        <v>2.5</v>
      </c>
      <c r="I4" s="24">
        <f>G4</f>
        <v>1.35</v>
      </c>
      <c r="J4" s="24">
        <f>(B2*H4)+(B3*I4)+(B7)</f>
        <v>51.46</v>
      </c>
      <c r="K4" s="24">
        <f>(C2*H4)+(C3*I4)+(C7)</f>
        <v>30.701999999999998</v>
      </c>
      <c r="L4" s="24">
        <f t="shared" si="2"/>
        <v>4.5999999999999996</v>
      </c>
      <c r="M4" s="24">
        <f>(J4*(L4)^2)/10</f>
        <v>108.88935999999998</v>
      </c>
      <c r="N4" s="24">
        <f t="shared" si="3"/>
        <v>64.965431999999993</v>
      </c>
      <c r="O4" s="45">
        <f>N4+'caratteristiche della sollecita'!R25</f>
        <v>319.22110801170174</v>
      </c>
    </row>
    <row r="5" spans="1:26" ht="15.75" thickBot="1" x14ac:dyDescent="0.3">
      <c r="A5" s="19" t="s">
        <v>78</v>
      </c>
      <c r="B5" s="27">
        <v>5.59</v>
      </c>
      <c r="C5" s="27">
        <v>4.3</v>
      </c>
      <c r="D5" s="110"/>
      <c r="E5" s="19" t="s">
        <v>57</v>
      </c>
      <c r="F5" s="24">
        <v>0.9</v>
      </c>
      <c r="G5" s="24">
        <v>3</v>
      </c>
      <c r="H5" s="24">
        <f>F5</f>
        <v>0.9</v>
      </c>
      <c r="I5" s="24">
        <f t="shared" si="1"/>
        <v>1.5</v>
      </c>
      <c r="J5" s="24">
        <f>(B10*H5)+(B9*I5)</f>
        <v>15.399000000000001</v>
      </c>
      <c r="K5" s="24">
        <f>(C9*I5)+(C10*H5)</f>
        <v>10.956</v>
      </c>
      <c r="L5" s="24">
        <f>9.2</f>
        <v>9.1999999999999993</v>
      </c>
      <c r="M5" s="24">
        <f>(J5*(L5)^2)/10</f>
        <v>130.33713599999999</v>
      </c>
      <c r="N5" s="24">
        <f t="shared" si="3"/>
        <v>92.731583999999984</v>
      </c>
      <c r="O5" s="46"/>
    </row>
    <row r="6" spans="1:26" ht="15.75" thickBot="1" x14ac:dyDescent="0.3">
      <c r="A6" s="19" t="s">
        <v>66</v>
      </c>
      <c r="B6" s="27">
        <v>2.74</v>
      </c>
      <c r="C6" s="27">
        <v>2.11</v>
      </c>
      <c r="D6" s="110"/>
      <c r="E6" s="13"/>
      <c r="F6" s="145"/>
      <c r="G6" s="145"/>
      <c r="H6" s="145"/>
      <c r="I6" s="145"/>
      <c r="J6" s="145"/>
      <c r="K6" s="145"/>
      <c r="L6" s="145"/>
      <c r="M6" s="145"/>
      <c r="N6" s="145"/>
    </row>
    <row r="7" spans="1:26" ht="33.75" x14ac:dyDescent="0.25">
      <c r="A7" s="19" t="s">
        <v>51</v>
      </c>
      <c r="B7" s="27">
        <v>9.15</v>
      </c>
      <c r="C7" s="27">
        <v>7.04</v>
      </c>
      <c r="D7" s="110"/>
      <c r="E7" s="19" t="s">
        <v>53</v>
      </c>
      <c r="F7" s="146" t="s">
        <v>61</v>
      </c>
      <c r="G7" s="146" t="s">
        <v>62</v>
      </c>
      <c r="H7" s="146" t="s">
        <v>63</v>
      </c>
      <c r="I7" s="146" t="s">
        <v>64</v>
      </c>
      <c r="J7" s="146" t="s">
        <v>79</v>
      </c>
      <c r="K7" s="146" t="s">
        <v>80</v>
      </c>
      <c r="L7" s="146" t="s">
        <v>65</v>
      </c>
      <c r="M7" s="146" t="s">
        <v>59</v>
      </c>
      <c r="N7" s="146" t="s">
        <v>58</v>
      </c>
      <c r="O7" s="44" t="s">
        <v>60</v>
      </c>
      <c r="Q7" s="32" t="s">
        <v>73</v>
      </c>
      <c r="R7" s="33" t="s">
        <v>75</v>
      </c>
      <c r="S7" s="33" t="s">
        <v>76</v>
      </c>
      <c r="T7" s="33" t="s">
        <v>93</v>
      </c>
      <c r="U7" s="34" t="s">
        <v>72</v>
      </c>
      <c r="V7" s="35" t="s">
        <v>77</v>
      </c>
    </row>
    <row r="8" spans="1:26" x14ac:dyDescent="0.25">
      <c r="A8" s="19" t="s">
        <v>52</v>
      </c>
      <c r="B8" s="27">
        <v>4.33</v>
      </c>
      <c r="C8" s="27">
        <v>3.33</v>
      </c>
      <c r="D8" s="257" t="s">
        <v>156</v>
      </c>
      <c r="E8" s="19" t="s">
        <v>54</v>
      </c>
      <c r="F8" s="24">
        <f>F2</f>
        <v>3</v>
      </c>
      <c r="G8" s="24">
        <f t="shared" ref="G8:N8" si="4">G2</f>
        <v>4.7</v>
      </c>
      <c r="H8" s="24">
        <f t="shared" si="4"/>
        <v>1.5</v>
      </c>
      <c r="I8" s="24">
        <f>I2</f>
        <v>2.35</v>
      </c>
      <c r="J8" s="24">
        <f t="shared" si="4"/>
        <v>42.080500000000001</v>
      </c>
      <c r="K8" s="24">
        <f t="shared" si="4"/>
        <v>25.795000000000002</v>
      </c>
      <c r="L8" s="24">
        <f t="shared" si="4"/>
        <v>4.5999999999999996</v>
      </c>
      <c r="M8" s="24">
        <f t="shared" si="4"/>
        <v>89.042337999999987</v>
      </c>
      <c r="N8" s="24">
        <f t="shared" si="4"/>
        <v>54.582219999999992</v>
      </c>
      <c r="O8" s="45">
        <f>O2</f>
        <v>89.042337999999987</v>
      </c>
      <c r="Q8" s="36" t="s">
        <v>48</v>
      </c>
      <c r="R8" s="37">
        <f>0.04</f>
        <v>0.04</v>
      </c>
      <c r="S8" s="38">
        <f>(O8*(U8^2))/(T8^2)</f>
        <v>0.89042337999999976</v>
      </c>
      <c r="T8" s="37">
        <f>V8-R8</f>
        <v>0.18</v>
      </c>
      <c r="U8" s="37">
        <f>0.018</f>
        <v>1.7999999999999999E-2</v>
      </c>
      <c r="V8" s="39">
        <v>0.22</v>
      </c>
    </row>
    <row r="9" spans="1:26" ht="15.75" thickBot="1" x14ac:dyDescent="0.3">
      <c r="A9" s="19" t="s">
        <v>70</v>
      </c>
      <c r="B9" s="27">
        <v>4.95</v>
      </c>
      <c r="C9" s="27">
        <v>3.38</v>
      </c>
      <c r="D9" s="257"/>
      <c r="E9" s="19" t="s">
        <v>55</v>
      </c>
      <c r="F9" s="24">
        <f t="shared" ref="F9:N11" si="5">F3</f>
        <v>4.7</v>
      </c>
      <c r="G9" s="24">
        <f t="shared" si="5"/>
        <v>5</v>
      </c>
      <c r="H9" s="24">
        <f t="shared" si="5"/>
        <v>2.35</v>
      </c>
      <c r="I9" s="24">
        <f>I3</f>
        <v>2.5</v>
      </c>
      <c r="J9" s="24">
        <f t="shared" si="5"/>
        <v>53.0105</v>
      </c>
      <c r="K9" s="24">
        <f t="shared" si="5"/>
        <v>32.495000000000005</v>
      </c>
      <c r="L9" s="24">
        <f t="shared" si="5"/>
        <v>4.5999999999999996</v>
      </c>
      <c r="M9" s="24">
        <f t="shared" si="5"/>
        <v>112.17021799999998</v>
      </c>
      <c r="N9" s="24">
        <f t="shared" si="5"/>
        <v>68.759420000000006</v>
      </c>
      <c r="O9" s="45">
        <f>N9+'caratteristiche della sollecita'!N8</f>
        <v>280.54751214590453</v>
      </c>
      <c r="Q9" s="40" t="s">
        <v>74</v>
      </c>
      <c r="R9" s="41">
        <f>0.04</f>
        <v>0.04</v>
      </c>
      <c r="S9" s="41">
        <v>0.3</v>
      </c>
      <c r="T9" s="42">
        <f>U9*(SQRT(O10/S9))</f>
        <v>0.58706050282836453</v>
      </c>
      <c r="U9" s="41">
        <f>0.018</f>
        <v>1.7999999999999999E-2</v>
      </c>
      <c r="V9" s="43">
        <f>T9+R9</f>
        <v>0.62706050282836456</v>
      </c>
    </row>
    <row r="10" spans="1:26" x14ac:dyDescent="0.25">
      <c r="A10" s="19" t="s">
        <v>71</v>
      </c>
      <c r="B10" s="48">
        <v>8.86</v>
      </c>
      <c r="C10" s="48">
        <v>6.54</v>
      </c>
      <c r="D10" s="257"/>
      <c r="E10" s="19" t="s">
        <v>56</v>
      </c>
      <c r="F10" s="24">
        <f t="shared" si="5"/>
        <v>5</v>
      </c>
      <c r="G10" s="24">
        <f t="shared" si="5"/>
        <v>1.35</v>
      </c>
      <c r="H10" s="24">
        <f t="shared" si="5"/>
        <v>2.5</v>
      </c>
      <c r="I10" s="24">
        <f>I4</f>
        <v>1.35</v>
      </c>
      <c r="J10" s="24">
        <f t="shared" si="5"/>
        <v>51.46</v>
      </c>
      <c r="K10" s="24">
        <f t="shared" si="5"/>
        <v>30.701999999999998</v>
      </c>
      <c r="L10" s="24">
        <f t="shared" si="5"/>
        <v>4.5999999999999996</v>
      </c>
      <c r="M10" s="24">
        <f t="shared" si="5"/>
        <v>108.88935999999998</v>
      </c>
      <c r="N10" s="24">
        <f t="shared" si="5"/>
        <v>64.965431999999993</v>
      </c>
      <c r="O10" s="45">
        <f>N10+'caratteristiche della sollecita'!R24</f>
        <v>319.11114257508547</v>
      </c>
    </row>
    <row r="11" spans="1:26" ht="15.75" thickBot="1" x14ac:dyDescent="0.3">
      <c r="B11" s="202"/>
      <c r="C11" s="202"/>
      <c r="D11" s="110"/>
      <c r="E11" s="19" t="s">
        <v>57</v>
      </c>
      <c r="F11" s="24">
        <f t="shared" si="5"/>
        <v>0.9</v>
      </c>
      <c r="G11" s="24">
        <f t="shared" si="5"/>
        <v>3</v>
      </c>
      <c r="H11" s="24">
        <f t="shared" si="5"/>
        <v>0.9</v>
      </c>
      <c r="I11" s="24">
        <f t="shared" si="5"/>
        <v>1.5</v>
      </c>
      <c r="J11" s="24">
        <f t="shared" si="5"/>
        <v>15.399000000000001</v>
      </c>
      <c r="K11" s="24">
        <f t="shared" si="5"/>
        <v>10.956</v>
      </c>
      <c r="L11" s="24">
        <f t="shared" si="5"/>
        <v>9.1999999999999993</v>
      </c>
      <c r="M11" s="24">
        <f t="shared" si="5"/>
        <v>130.33713599999999</v>
      </c>
      <c r="N11" s="24">
        <f t="shared" si="5"/>
        <v>92.731583999999984</v>
      </c>
      <c r="O11" s="46"/>
    </row>
    <row r="12" spans="1:26" ht="15.75" thickBot="1" x14ac:dyDescent="0.3">
      <c r="B12" s="202"/>
      <c r="C12" s="202"/>
      <c r="D12" s="110"/>
      <c r="E12" s="70"/>
      <c r="F12" s="28"/>
      <c r="G12" s="28"/>
      <c r="H12" s="145"/>
      <c r="I12" s="145"/>
      <c r="J12" s="28"/>
      <c r="K12" s="143"/>
      <c r="L12" s="145"/>
      <c r="M12" s="145"/>
      <c r="N12" s="145"/>
    </row>
    <row r="13" spans="1:26" ht="34.5" thickBot="1" x14ac:dyDescent="0.3">
      <c r="D13" s="110"/>
      <c r="E13" s="19" t="s">
        <v>53</v>
      </c>
      <c r="F13" s="146" t="s">
        <v>61</v>
      </c>
      <c r="G13" s="146" t="s">
        <v>62</v>
      </c>
      <c r="H13" s="146" t="s">
        <v>63</v>
      </c>
      <c r="I13" s="146" t="s">
        <v>64</v>
      </c>
      <c r="J13" s="146" t="s">
        <v>79</v>
      </c>
      <c r="K13" s="146" t="s">
        <v>80</v>
      </c>
      <c r="L13" s="146" t="s">
        <v>65</v>
      </c>
      <c r="M13" s="146" t="s">
        <v>59</v>
      </c>
      <c r="N13" s="146" t="s">
        <v>58</v>
      </c>
      <c r="O13" s="44" t="s">
        <v>60</v>
      </c>
      <c r="Q13" s="32" t="s">
        <v>73</v>
      </c>
      <c r="R13" s="33" t="s">
        <v>75</v>
      </c>
      <c r="S13" s="33" t="s">
        <v>76</v>
      </c>
      <c r="T13" s="33" t="s">
        <v>93</v>
      </c>
      <c r="U13" s="34" t="s">
        <v>72</v>
      </c>
      <c r="V13" s="35" t="s">
        <v>77</v>
      </c>
    </row>
    <row r="14" spans="1:26" x14ac:dyDescent="0.25">
      <c r="A14" s="259" t="s">
        <v>164</v>
      </c>
      <c r="B14" s="260"/>
      <c r="C14" s="261"/>
      <c r="D14" s="257" t="s">
        <v>157</v>
      </c>
      <c r="E14" s="19" t="s">
        <v>54</v>
      </c>
      <c r="F14" s="24">
        <f>F8</f>
        <v>3</v>
      </c>
      <c r="G14" s="24">
        <f t="shared" ref="G14:N14" si="6">G8</f>
        <v>4.7</v>
      </c>
      <c r="H14" s="24">
        <f t="shared" si="6"/>
        <v>1.5</v>
      </c>
      <c r="I14" s="24">
        <f>I8</f>
        <v>2.35</v>
      </c>
      <c r="J14" s="24">
        <f t="shared" si="6"/>
        <v>42.080500000000001</v>
      </c>
      <c r="K14" s="24">
        <f t="shared" si="6"/>
        <v>25.795000000000002</v>
      </c>
      <c r="L14" s="24">
        <f t="shared" si="6"/>
        <v>4.5999999999999996</v>
      </c>
      <c r="M14" s="24">
        <f t="shared" si="6"/>
        <v>89.042337999999987</v>
      </c>
      <c r="N14" s="24">
        <f t="shared" si="6"/>
        <v>54.582219999999992</v>
      </c>
      <c r="O14" s="45">
        <f>O8</f>
        <v>89.042337999999987</v>
      </c>
      <c r="Q14" s="36" t="s">
        <v>48</v>
      </c>
      <c r="R14" s="37">
        <f>0.04</f>
        <v>0.04</v>
      </c>
      <c r="S14" s="38">
        <f>(O14*(U14^2))/(T14^2)</f>
        <v>0.89042337999999976</v>
      </c>
      <c r="T14" s="37">
        <f>V14-R14</f>
        <v>0.18</v>
      </c>
      <c r="U14" s="37">
        <f>0.018</f>
        <v>1.7999999999999999E-2</v>
      </c>
      <c r="V14" s="39">
        <v>0.22</v>
      </c>
    </row>
    <row r="15" spans="1:26" ht="30.75" thickBot="1" x14ac:dyDescent="0.3">
      <c r="A15" s="108" t="s">
        <v>161</v>
      </c>
      <c r="B15" s="104" t="s">
        <v>163</v>
      </c>
      <c r="C15" s="105" t="s">
        <v>162</v>
      </c>
      <c r="D15" s="257"/>
      <c r="E15" s="19" t="s">
        <v>55</v>
      </c>
      <c r="F15" s="24">
        <f t="shared" ref="F15:N15" si="7">F9</f>
        <v>4.7</v>
      </c>
      <c r="G15" s="24">
        <f t="shared" si="7"/>
        <v>5</v>
      </c>
      <c r="H15" s="24">
        <f t="shared" si="7"/>
        <v>2.35</v>
      </c>
      <c r="I15" s="24">
        <f>I9</f>
        <v>2.5</v>
      </c>
      <c r="J15" s="24">
        <f t="shared" si="7"/>
        <v>53.0105</v>
      </c>
      <c r="K15" s="24">
        <f t="shared" si="7"/>
        <v>32.495000000000005</v>
      </c>
      <c r="L15" s="24">
        <f t="shared" si="7"/>
        <v>4.5999999999999996</v>
      </c>
      <c r="M15" s="24">
        <f t="shared" si="7"/>
        <v>112.17021799999998</v>
      </c>
      <c r="N15" s="24">
        <f t="shared" si="7"/>
        <v>68.759420000000006</v>
      </c>
      <c r="O15" s="45">
        <f>N15+'caratteristiche della sollecita'!N7</f>
        <v>254.54504145294987</v>
      </c>
      <c r="Q15" s="40" t="s">
        <v>74</v>
      </c>
      <c r="R15" s="41">
        <f>0.04</f>
        <v>0.04</v>
      </c>
      <c r="S15" s="41">
        <v>0.3</v>
      </c>
      <c r="T15" s="42">
        <f>U15*(SQRT(O16/S15))</f>
        <v>0.55762068824876199</v>
      </c>
      <c r="U15" s="41">
        <f>0.018</f>
        <v>1.7999999999999999E-2</v>
      </c>
      <c r="V15" s="43">
        <f>T15+R15</f>
        <v>0.59762068824876202</v>
      </c>
      <c r="Z15" s="22"/>
    </row>
    <row r="16" spans="1:26" x14ac:dyDescent="0.25">
      <c r="A16" s="103" t="s">
        <v>47</v>
      </c>
      <c r="B16" s="19">
        <v>30</v>
      </c>
      <c r="C16" s="113">
        <f>IF(V33&lt;=0.5,50,0)</f>
        <v>50</v>
      </c>
      <c r="D16" s="257"/>
      <c r="E16" s="19" t="s">
        <v>56</v>
      </c>
      <c r="F16" s="24">
        <f t="shared" ref="F16:N16" si="8">F10</f>
        <v>5</v>
      </c>
      <c r="G16" s="24">
        <f t="shared" si="8"/>
        <v>1.35</v>
      </c>
      <c r="H16" s="24">
        <f t="shared" si="8"/>
        <v>2.5</v>
      </c>
      <c r="I16" s="24">
        <f>I10</f>
        <v>1.35</v>
      </c>
      <c r="J16" s="24">
        <f t="shared" si="8"/>
        <v>51.46</v>
      </c>
      <c r="K16" s="24">
        <f t="shared" si="8"/>
        <v>30.701999999999998</v>
      </c>
      <c r="L16" s="24">
        <f t="shared" si="8"/>
        <v>4.5999999999999996</v>
      </c>
      <c r="M16" s="24">
        <f t="shared" si="8"/>
        <v>108.88935999999998</v>
      </c>
      <c r="N16" s="24">
        <f t="shared" si="8"/>
        <v>64.965431999999993</v>
      </c>
      <c r="O16" s="45">
        <f>N16+'caratteristiche della sollecita'!R23</f>
        <v>287.9081777435398</v>
      </c>
    </row>
    <row r="17" spans="1:22" ht="15.75" thickBot="1" x14ac:dyDescent="0.3">
      <c r="A17" s="103">
        <v>5</v>
      </c>
      <c r="B17" s="19">
        <v>30</v>
      </c>
      <c r="C17" s="113">
        <f>IF(V27&lt;=0.5,60,0)</f>
        <v>60</v>
      </c>
      <c r="D17" s="110"/>
      <c r="E17" s="19" t="s">
        <v>57</v>
      </c>
      <c r="F17" s="24">
        <f t="shared" ref="F17:N17" si="9">F11</f>
        <v>0.9</v>
      </c>
      <c r="G17" s="24">
        <f t="shared" si="9"/>
        <v>3</v>
      </c>
      <c r="H17" s="24">
        <f t="shared" si="9"/>
        <v>0.9</v>
      </c>
      <c r="I17" s="24">
        <f t="shared" si="9"/>
        <v>1.5</v>
      </c>
      <c r="J17" s="24">
        <f t="shared" si="9"/>
        <v>15.399000000000001</v>
      </c>
      <c r="K17" s="24">
        <f t="shared" si="9"/>
        <v>10.956</v>
      </c>
      <c r="L17" s="24">
        <f t="shared" si="9"/>
        <v>9.1999999999999993</v>
      </c>
      <c r="M17" s="24">
        <f t="shared" si="9"/>
        <v>130.33713599999999</v>
      </c>
      <c r="N17" s="24">
        <f t="shared" si="9"/>
        <v>92.731583999999984</v>
      </c>
      <c r="O17" s="46"/>
    </row>
    <row r="18" spans="1:22" ht="22.5" customHeight="1" thickBot="1" x14ac:dyDescent="0.3">
      <c r="A18" s="103">
        <v>4</v>
      </c>
      <c r="B18" s="19">
        <v>30</v>
      </c>
      <c r="C18" s="113">
        <f>IF(V21&lt;=0.6,60,0)</f>
        <v>60</v>
      </c>
      <c r="D18" s="110"/>
      <c r="E18" s="13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22" ht="33.75" x14ac:dyDescent="0.25">
      <c r="A19" s="103">
        <v>3</v>
      </c>
      <c r="B19" s="19">
        <v>30</v>
      </c>
      <c r="C19" s="113">
        <f>IF(V15&lt;=0.6,70,0)</f>
        <v>70</v>
      </c>
      <c r="D19" s="110"/>
      <c r="E19" s="19" t="s">
        <v>53</v>
      </c>
      <c r="F19" s="146" t="s">
        <v>61</v>
      </c>
      <c r="G19" s="146" t="s">
        <v>62</v>
      </c>
      <c r="H19" s="146" t="s">
        <v>63</v>
      </c>
      <c r="I19" s="146" t="s">
        <v>64</v>
      </c>
      <c r="J19" s="146" t="s">
        <v>79</v>
      </c>
      <c r="K19" s="146" t="s">
        <v>80</v>
      </c>
      <c r="L19" s="146" t="s">
        <v>65</v>
      </c>
      <c r="M19" s="146" t="s">
        <v>59</v>
      </c>
      <c r="N19" s="146" t="s">
        <v>58</v>
      </c>
      <c r="O19" s="44" t="s">
        <v>60</v>
      </c>
      <c r="Q19" s="32" t="s">
        <v>73</v>
      </c>
      <c r="R19" s="33" t="s">
        <v>75</v>
      </c>
      <c r="S19" s="33" t="s">
        <v>76</v>
      </c>
      <c r="T19" s="33" t="s">
        <v>93</v>
      </c>
      <c r="U19" s="34" t="s">
        <v>72</v>
      </c>
      <c r="V19" s="35" t="s">
        <v>77</v>
      </c>
    </row>
    <row r="20" spans="1:22" x14ac:dyDescent="0.25">
      <c r="A20" s="103">
        <v>2</v>
      </c>
      <c r="B20" s="19">
        <v>30</v>
      </c>
      <c r="C20" s="113">
        <f>IF(V9&lt;=0.7,70,0)</f>
        <v>70</v>
      </c>
      <c r="D20" s="257" t="s">
        <v>158</v>
      </c>
      <c r="E20" s="19" t="s">
        <v>54</v>
      </c>
      <c r="F20" s="24">
        <f>F14</f>
        <v>3</v>
      </c>
      <c r="G20" s="24">
        <f t="shared" ref="G20:N20" si="10">G14</f>
        <v>4.7</v>
      </c>
      <c r="H20" s="24">
        <f>H14</f>
        <v>1.5</v>
      </c>
      <c r="I20" s="24">
        <f>I14</f>
        <v>2.35</v>
      </c>
      <c r="J20" s="24">
        <f t="shared" si="10"/>
        <v>42.080500000000001</v>
      </c>
      <c r="K20" s="24">
        <f t="shared" si="10"/>
        <v>25.795000000000002</v>
      </c>
      <c r="L20" s="24">
        <f t="shared" si="10"/>
        <v>4.5999999999999996</v>
      </c>
      <c r="M20" s="24">
        <f t="shared" si="10"/>
        <v>89.042337999999987</v>
      </c>
      <c r="N20" s="24">
        <f t="shared" si="10"/>
        <v>54.582219999999992</v>
      </c>
      <c r="O20" s="45">
        <f>O14</f>
        <v>89.042337999999987</v>
      </c>
      <c r="Q20" s="36" t="s">
        <v>48</v>
      </c>
      <c r="R20" s="37">
        <f>0.04</f>
        <v>0.04</v>
      </c>
      <c r="S20" s="38">
        <f>(O20*(U20^2))/(T20^2)</f>
        <v>0.89042337999999976</v>
      </c>
      <c r="T20" s="37">
        <f>V20-R20</f>
        <v>0.18</v>
      </c>
      <c r="U20" s="37">
        <f>0.018</f>
        <v>1.7999999999999999E-2</v>
      </c>
      <c r="V20" s="39">
        <v>0.22</v>
      </c>
    </row>
    <row r="21" spans="1:22" ht="15.75" thickBot="1" x14ac:dyDescent="0.3">
      <c r="A21" s="109">
        <v>1</v>
      </c>
      <c r="B21" s="112">
        <v>30</v>
      </c>
      <c r="C21" s="114">
        <f>IF(V3&lt;=0.7,70,0)</f>
        <v>70</v>
      </c>
      <c r="D21" s="257"/>
      <c r="E21" s="19" t="s">
        <v>55</v>
      </c>
      <c r="F21" s="24">
        <f t="shared" ref="F21:N21" si="11">F15</f>
        <v>4.7</v>
      </c>
      <c r="G21" s="24">
        <f t="shared" si="11"/>
        <v>5</v>
      </c>
      <c r="H21" s="24">
        <f>H15</f>
        <v>2.35</v>
      </c>
      <c r="I21" s="24">
        <f>I15</f>
        <v>2.5</v>
      </c>
      <c r="J21" s="24">
        <f t="shared" si="11"/>
        <v>53.0105</v>
      </c>
      <c r="K21" s="24">
        <f t="shared" si="11"/>
        <v>32.495000000000005</v>
      </c>
      <c r="L21" s="24">
        <f t="shared" si="11"/>
        <v>4.5999999999999996</v>
      </c>
      <c r="M21" s="24">
        <f t="shared" si="11"/>
        <v>112.17021799999998</v>
      </c>
      <c r="N21" s="24">
        <f t="shared" si="11"/>
        <v>68.759420000000006</v>
      </c>
      <c r="O21" s="45">
        <f>N21+'caratteristiche della sollecita'!N6</f>
        <v>218.50652943990744</v>
      </c>
      <c r="Q21" s="40" t="s">
        <v>74</v>
      </c>
      <c r="R21" s="41">
        <f>0.04</f>
        <v>0.04</v>
      </c>
      <c r="S21" s="41">
        <v>0.3</v>
      </c>
      <c r="T21" s="42">
        <f>U21*(SQRT(O22/S21))</f>
        <v>0.51403785891130627</v>
      </c>
      <c r="U21" s="41">
        <f>0.018</f>
        <v>1.7999999999999999E-2</v>
      </c>
      <c r="V21" s="43">
        <f>T21+R21</f>
        <v>0.5540378589113063</v>
      </c>
    </row>
    <row r="22" spans="1:22" x14ac:dyDescent="0.25">
      <c r="D22" s="257"/>
      <c r="E22" s="19" t="s">
        <v>56</v>
      </c>
      <c r="F22" s="24">
        <f t="shared" ref="F22:N22" si="12">F16</f>
        <v>5</v>
      </c>
      <c r="G22" s="24">
        <f t="shared" si="12"/>
        <v>1.35</v>
      </c>
      <c r="H22" s="24">
        <f>H16</f>
        <v>2.5</v>
      </c>
      <c r="I22" s="24">
        <f>I16</f>
        <v>1.35</v>
      </c>
      <c r="J22" s="24">
        <f t="shared" si="12"/>
        <v>51.46</v>
      </c>
      <c r="K22" s="24">
        <f t="shared" si="12"/>
        <v>30.701999999999998</v>
      </c>
      <c r="L22" s="24">
        <f t="shared" si="12"/>
        <v>4.5999999999999996</v>
      </c>
      <c r="M22" s="24">
        <f t="shared" si="12"/>
        <v>108.88935999999998</v>
      </c>
      <c r="N22" s="24">
        <f t="shared" si="12"/>
        <v>64.965431999999993</v>
      </c>
      <c r="O22" s="45">
        <f>N22+'caratteristiche della sollecita'!R22</f>
        <v>244.66196332788891</v>
      </c>
    </row>
    <row r="23" spans="1:22" ht="15.75" thickBot="1" x14ac:dyDescent="0.3">
      <c r="D23" s="110"/>
      <c r="E23" s="19" t="s">
        <v>57</v>
      </c>
      <c r="F23" s="24">
        <f t="shared" ref="F23:N23" si="13">F17</f>
        <v>0.9</v>
      </c>
      <c r="G23" s="24">
        <f t="shared" si="13"/>
        <v>3</v>
      </c>
      <c r="H23" s="24">
        <f>H17</f>
        <v>0.9</v>
      </c>
      <c r="I23" s="24">
        <f>I17</f>
        <v>1.5</v>
      </c>
      <c r="J23" s="24">
        <f t="shared" si="13"/>
        <v>15.399000000000001</v>
      </c>
      <c r="K23" s="24">
        <f t="shared" si="13"/>
        <v>10.956</v>
      </c>
      <c r="L23" s="24">
        <f t="shared" si="13"/>
        <v>9.1999999999999993</v>
      </c>
      <c r="M23" s="24">
        <f t="shared" si="13"/>
        <v>130.33713599999999</v>
      </c>
      <c r="N23" s="24">
        <f t="shared" si="13"/>
        <v>92.731583999999984</v>
      </c>
      <c r="O23" s="46"/>
    </row>
    <row r="24" spans="1:22" ht="15.75" thickBot="1" x14ac:dyDescent="0.3">
      <c r="A24" s="259" t="s">
        <v>165</v>
      </c>
      <c r="B24" s="260"/>
      <c r="C24" s="261"/>
      <c r="D24" s="110"/>
      <c r="E24" s="13"/>
      <c r="F24" s="145"/>
      <c r="G24" s="145"/>
      <c r="H24" s="145"/>
      <c r="I24" s="145"/>
      <c r="J24" s="145"/>
      <c r="K24" s="145"/>
      <c r="L24" s="145"/>
      <c r="M24" s="145"/>
      <c r="N24" s="145"/>
    </row>
    <row r="25" spans="1:22" ht="33.75" x14ac:dyDescent="0.25">
      <c r="A25" s="108" t="s">
        <v>161</v>
      </c>
      <c r="B25" s="104" t="s">
        <v>163</v>
      </c>
      <c r="C25" s="105" t="s">
        <v>162</v>
      </c>
      <c r="D25" s="110"/>
      <c r="E25" s="19" t="s">
        <v>53</v>
      </c>
      <c r="F25" s="146" t="s">
        <v>61</v>
      </c>
      <c r="G25" s="146" t="s">
        <v>62</v>
      </c>
      <c r="H25" s="146" t="s">
        <v>63</v>
      </c>
      <c r="I25" s="146" t="s">
        <v>64</v>
      </c>
      <c r="J25" s="146" t="s">
        <v>79</v>
      </c>
      <c r="K25" s="146" t="s">
        <v>80</v>
      </c>
      <c r="L25" s="146" t="s">
        <v>65</v>
      </c>
      <c r="M25" s="146" t="s">
        <v>59</v>
      </c>
      <c r="N25" s="146" t="s">
        <v>58</v>
      </c>
      <c r="O25" s="44" t="s">
        <v>60</v>
      </c>
      <c r="Q25" s="32" t="s">
        <v>73</v>
      </c>
      <c r="R25" s="33" t="s">
        <v>75</v>
      </c>
      <c r="S25" s="33" t="s">
        <v>76</v>
      </c>
      <c r="T25" s="33" t="s">
        <v>93</v>
      </c>
      <c r="U25" s="34" t="s">
        <v>72</v>
      </c>
      <c r="V25" s="35" t="s">
        <v>77</v>
      </c>
    </row>
    <row r="26" spans="1:22" x14ac:dyDescent="0.25">
      <c r="A26" s="103" t="s">
        <v>47</v>
      </c>
      <c r="B26" s="19">
        <f>IF($S$14&lt;=0.9,90,0)</f>
        <v>90</v>
      </c>
      <c r="C26" s="113">
        <f>IF($V$14&lt;=0.22,22,0)</f>
        <v>22</v>
      </c>
      <c r="D26" s="257" t="s">
        <v>159</v>
      </c>
      <c r="E26" s="19" t="s">
        <v>54</v>
      </c>
      <c r="F26" s="24">
        <f>F20</f>
        <v>3</v>
      </c>
      <c r="G26" s="24">
        <f t="shared" ref="G26:N26" si="14">G20</f>
        <v>4.7</v>
      </c>
      <c r="H26" s="24">
        <f t="shared" si="14"/>
        <v>1.5</v>
      </c>
      <c r="I26" s="24">
        <f t="shared" si="14"/>
        <v>2.35</v>
      </c>
      <c r="J26" s="24">
        <f t="shared" si="14"/>
        <v>42.080500000000001</v>
      </c>
      <c r="K26" s="24">
        <f t="shared" si="14"/>
        <v>25.795000000000002</v>
      </c>
      <c r="L26" s="24">
        <f t="shared" si="14"/>
        <v>4.5999999999999996</v>
      </c>
      <c r="M26" s="24">
        <f t="shared" si="14"/>
        <v>89.042337999999987</v>
      </c>
      <c r="N26" s="24">
        <f t="shared" si="14"/>
        <v>54.582219999999992</v>
      </c>
      <c r="O26" s="45">
        <f>O2</f>
        <v>89.042337999999987</v>
      </c>
      <c r="Q26" s="36" t="s">
        <v>48</v>
      </c>
      <c r="R26" s="37">
        <f>0.04</f>
        <v>0.04</v>
      </c>
      <c r="S26" s="38">
        <f>(O26*(U26^2))/(T26^2)</f>
        <v>0.89042337999999976</v>
      </c>
      <c r="T26" s="37">
        <f>V26-R26</f>
        <v>0.18</v>
      </c>
      <c r="U26" s="37">
        <f>0.018</f>
        <v>1.7999999999999999E-2</v>
      </c>
      <c r="V26" s="39">
        <v>0.22</v>
      </c>
    </row>
    <row r="27" spans="1:22" ht="15.75" thickBot="1" x14ac:dyDescent="0.3">
      <c r="A27" s="103">
        <v>5</v>
      </c>
      <c r="B27" s="19">
        <f t="shared" ref="B27:B31" si="15">IF($S$14&lt;=0.9,90,0)</f>
        <v>90</v>
      </c>
      <c r="C27" s="113">
        <f t="shared" ref="C27:C31" si="16">IF($V$14&lt;=0.22,22,0)</f>
        <v>22</v>
      </c>
      <c r="D27" s="257"/>
      <c r="E27" s="19" t="s">
        <v>55</v>
      </c>
      <c r="F27" s="24">
        <f t="shared" ref="F27:N27" si="17">F21</f>
        <v>4.7</v>
      </c>
      <c r="G27" s="24">
        <f t="shared" si="17"/>
        <v>5</v>
      </c>
      <c r="H27" s="24">
        <f t="shared" si="17"/>
        <v>2.35</v>
      </c>
      <c r="I27" s="24">
        <f t="shared" si="17"/>
        <v>2.5</v>
      </c>
      <c r="J27" s="24">
        <f t="shared" si="17"/>
        <v>53.0105</v>
      </c>
      <c r="K27" s="24">
        <f t="shared" si="17"/>
        <v>32.495000000000005</v>
      </c>
      <c r="L27" s="24">
        <f t="shared" si="17"/>
        <v>4.5999999999999996</v>
      </c>
      <c r="M27" s="24">
        <f t="shared" si="17"/>
        <v>112.17021799999998</v>
      </c>
      <c r="N27" s="24">
        <f t="shared" si="17"/>
        <v>68.759420000000006</v>
      </c>
      <c r="O27" s="45">
        <f>N27+'caratteristiche della sollecita'!N5</f>
        <v>172.43197610677723</v>
      </c>
      <c r="Q27" s="40" t="s">
        <v>74</v>
      </c>
      <c r="R27" s="41">
        <f>0.04</f>
        <v>0.04</v>
      </c>
      <c r="S27" s="41">
        <v>0.3</v>
      </c>
      <c r="T27" s="42">
        <f>U27*(SQRT(O28/S27))</f>
        <v>0.45224141702677267</v>
      </c>
      <c r="U27" s="41">
        <f>0.018</f>
        <v>1.7999999999999999E-2</v>
      </c>
      <c r="V27" s="43">
        <f>T27+R27</f>
        <v>0.49224141702677265</v>
      </c>
    </row>
    <row r="28" spans="1:22" x14ac:dyDescent="0.25">
      <c r="A28" s="103">
        <v>4</v>
      </c>
      <c r="B28" s="19">
        <f t="shared" si="15"/>
        <v>90</v>
      </c>
      <c r="C28" s="113">
        <f t="shared" si="16"/>
        <v>22</v>
      </c>
      <c r="D28" s="257"/>
      <c r="E28" s="19" t="s">
        <v>56</v>
      </c>
      <c r="F28" s="24">
        <f t="shared" ref="F28:N28" si="18">F22</f>
        <v>5</v>
      </c>
      <c r="G28" s="24">
        <f t="shared" si="18"/>
        <v>1.35</v>
      </c>
      <c r="H28" s="24">
        <f t="shared" si="18"/>
        <v>2.5</v>
      </c>
      <c r="I28" s="24">
        <f t="shared" si="18"/>
        <v>1.35</v>
      </c>
      <c r="J28" s="24">
        <f t="shared" si="18"/>
        <v>51.46</v>
      </c>
      <c r="K28" s="24">
        <f t="shared" si="18"/>
        <v>30.701999999999998</v>
      </c>
      <c r="L28" s="24">
        <f t="shared" si="18"/>
        <v>4.5999999999999996</v>
      </c>
      <c r="M28" s="24">
        <f t="shared" si="18"/>
        <v>108.88935999999998</v>
      </c>
      <c r="N28" s="24">
        <f t="shared" si="18"/>
        <v>64.965431999999993</v>
      </c>
      <c r="O28" s="45">
        <f>N28+'caratteristiche della sollecita'!R21</f>
        <v>189.37249932813268</v>
      </c>
    </row>
    <row r="29" spans="1:22" ht="15.75" thickBot="1" x14ac:dyDescent="0.3">
      <c r="A29" s="103">
        <v>3</v>
      </c>
      <c r="B29" s="19">
        <f t="shared" si="15"/>
        <v>90</v>
      </c>
      <c r="C29" s="113">
        <f t="shared" si="16"/>
        <v>22</v>
      </c>
      <c r="D29" s="110"/>
      <c r="E29" s="19" t="s">
        <v>57</v>
      </c>
      <c r="F29" s="24">
        <f t="shared" ref="F29:N29" si="19">F23</f>
        <v>0.9</v>
      </c>
      <c r="G29" s="24">
        <f t="shared" si="19"/>
        <v>3</v>
      </c>
      <c r="H29" s="24">
        <f t="shared" si="19"/>
        <v>0.9</v>
      </c>
      <c r="I29" s="24">
        <f t="shared" si="19"/>
        <v>1.5</v>
      </c>
      <c r="J29" s="24">
        <f t="shared" si="19"/>
        <v>15.399000000000001</v>
      </c>
      <c r="K29" s="24">
        <f t="shared" si="19"/>
        <v>10.956</v>
      </c>
      <c r="L29" s="24">
        <f t="shared" si="19"/>
        <v>9.1999999999999993</v>
      </c>
      <c r="M29" s="24">
        <f t="shared" si="19"/>
        <v>130.33713599999999</v>
      </c>
      <c r="N29" s="24">
        <f t="shared" si="19"/>
        <v>92.731583999999984</v>
      </c>
      <c r="O29" s="46"/>
    </row>
    <row r="30" spans="1:22" ht="15.75" thickBot="1" x14ac:dyDescent="0.3">
      <c r="A30" s="103">
        <v>2</v>
      </c>
      <c r="B30" s="19">
        <f t="shared" si="15"/>
        <v>90</v>
      </c>
      <c r="C30" s="113">
        <f t="shared" si="16"/>
        <v>22</v>
      </c>
      <c r="D30" s="110"/>
      <c r="E30" s="13"/>
      <c r="F30" s="145"/>
      <c r="G30" s="145"/>
      <c r="H30" s="145"/>
      <c r="I30" s="145"/>
      <c r="J30" s="145"/>
      <c r="K30" s="145"/>
      <c r="L30" s="145"/>
      <c r="M30" s="145"/>
      <c r="N30" s="145"/>
    </row>
    <row r="31" spans="1:22" ht="34.5" thickBot="1" x14ac:dyDescent="0.3">
      <c r="A31" s="109">
        <v>1</v>
      </c>
      <c r="B31" s="112">
        <f t="shared" si="15"/>
        <v>90</v>
      </c>
      <c r="C31" s="114">
        <f t="shared" si="16"/>
        <v>22</v>
      </c>
      <c r="D31" s="111"/>
      <c r="E31" s="19" t="s">
        <v>53</v>
      </c>
      <c r="F31" s="146" t="s">
        <v>61</v>
      </c>
      <c r="G31" s="146" t="s">
        <v>62</v>
      </c>
      <c r="H31" s="146" t="s">
        <v>63</v>
      </c>
      <c r="I31" s="146" t="s">
        <v>64</v>
      </c>
      <c r="J31" s="146" t="s">
        <v>79</v>
      </c>
      <c r="K31" s="146" t="s">
        <v>80</v>
      </c>
      <c r="L31" s="146" t="s">
        <v>65</v>
      </c>
      <c r="M31" s="146" t="s">
        <v>59</v>
      </c>
      <c r="N31" s="146" t="s">
        <v>58</v>
      </c>
      <c r="O31" s="44" t="s">
        <v>60</v>
      </c>
      <c r="Q31" s="32" t="s">
        <v>73</v>
      </c>
      <c r="R31" s="33" t="s">
        <v>75</v>
      </c>
      <c r="S31" s="33" t="s">
        <v>76</v>
      </c>
      <c r="T31" s="33" t="s">
        <v>93</v>
      </c>
      <c r="U31" s="34" t="s">
        <v>72</v>
      </c>
      <c r="V31" s="35" t="s">
        <v>77</v>
      </c>
    </row>
    <row r="32" spans="1:22" ht="15" customHeight="1" x14ac:dyDescent="0.25">
      <c r="D32" s="258" t="s">
        <v>160</v>
      </c>
      <c r="E32" s="19" t="s">
        <v>54</v>
      </c>
      <c r="F32" s="24">
        <f>F26</f>
        <v>3</v>
      </c>
      <c r="G32" s="24">
        <f t="shared" ref="G32:N32" si="20">G26</f>
        <v>4.7</v>
      </c>
      <c r="H32" s="24">
        <f t="shared" si="20"/>
        <v>1.5</v>
      </c>
      <c r="I32" s="24">
        <f t="shared" si="20"/>
        <v>2.35</v>
      </c>
      <c r="J32" s="24">
        <f t="shared" si="20"/>
        <v>42.080500000000001</v>
      </c>
      <c r="K32" s="24">
        <f t="shared" si="20"/>
        <v>25.795000000000002</v>
      </c>
      <c r="L32" s="24">
        <f t="shared" si="20"/>
        <v>4.5999999999999996</v>
      </c>
      <c r="M32" s="24">
        <f t="shared" si="20"/>
        <v>89.042337999999987</v>
      </c>
      <c r="N32" s="24">
        <f t="shared" si="20"/>
        <v>54.582219999999992</v>
      </c>
      <c r="O32" s="45">
        <f>O26</f>
        <v>89.042337999999987</v>
      </c>
      <c r="Q32" s="36" t="s">
        <v>48</v>
      </c>
      <c r="R32" s="37">
        <f>0.04</f>
        <v>0.04</v>
      </c>
      <c r="S32" s="38">
        <f>(O32*(U32^2))/(T32^2)</f>
        <v>0.89042337999999976</v>
      </c>
      <c r="T32" s="37">
        <f>V32-R32</f>
        <v>0.18</v>
      </c>
      <c r="U32" s="37">
        <f>0.018</f>
        <v>1.7999999999999999E-2</v>
      </c>
      <c r="V32" s="39">
        <v>0.22</v>
      </c>
    </row>
    <row r="33" spans="4:22" ht="15.75" thickBot="1" x14ac:dyDescent="0.3">
      <c r="D33" s="258"/>
      <c r="E33" s="19" t="s">
        <v>55</v>
      </c>
      <c r="F33" s="24">
        <f t="shared" ref="F33:N33" si="21">F27</f>
        <v>4.7</v>
      </c>
      <c r="G33" s="24">
        <f t="shared" si="21"/>
        <v>5</v>
      </c>
      <c r="H33" s="24">
        <f t="shared" si="21"/>
        <v>2.35</v>
      </c>
      <c r="I33" s="24">
        <f t="shared" si="21"/>
        <v>2.5</v>
      </c>
      <c r="J33" s="24">
        <f t="shared" si="21"/>
        <v>53.0105</v>
      </c>
      <c r="K33" s="24">
        <f t="shared" si="21"/>
        <v>32.495000000000005</v>
      </c>
      <c r="L33" s="24">
        <f t="shared" si="21"/>
        <v>4.5999999999999996</v>
      </c>
      <c r="M33" s="24">
        <f t="shared" si="21"/>
        <v>112.17021799999998</v>
      </c>
      <c r="N33" s="24">
        <f t="shared" si="21"/>
        <v>68.759420000000006</v>
      </c>
      <c r="O33" s="45">
        <f>N33+'caratteristiche della sollecita'!N4</f>
        <v>107.82255455509511</v>
      </c>
      <c r="Q33" s="40" t="s">
        <v>74</v>
      </c>
      <c r="R33" s="41">
        <f>0.04</f>
        <v>0.04</v>
      </c>
      <c r="S33" s="41">
        <v>0.3</v>
      </c>
      <c r="T33" s="42">
        <f>U33*(SQRT(O35/S33))</f>
        <v>0.37518542999428955</v>
      </c>
      <c r="U33" s="41">
        <f>0.018</f>
        <v>1.7999999999999999E-2</v>
      </c>
      <c r="V33" s="43">
        <f>T33+R33</f>
        <v>0.41518542999428953</v>
      </c>
    </row>
    <row r="34" spans="4:22" x14ac:dyDescent="0.25">
      <c r="D34" s="258"/>
      <c r="E34" s="19" t="s">
        <v>56</v>
      </c>
      <c r="F34" s="24">
        <f t="shared" ref="F34:N34" si="22">F28</f>
        <v>5</v>
      </c>
      <c r="G34" s="24">
        <f t="shared" si="22"/>
        <v>1.35</v>
      </c>
      <c r="H34" s="24">
        <f t="shared" si="22"/>
        <v>2.5</v>
      </c>
      <c r="I34" s="24">
        <f t="shared" si="22"/>
        <v>1.35</v>
      </c>
      <c r="J34" s="24">
        <f t="shared" si="22"/>
        <v>51.46</v>
      </c>
      <c r="K34" s="24">
        <f t="shared" si="22"/>
        <v>30.701999999999998</v>
      </c>
      <c r="L34" s="24">
        <f t="shared" si="22"/>
        <v>4.5999999999999996</v>
      </c>
      <c r="M34" s="24">
        <f t="shared" si="22"/>
        <v>108.88935999999998</v>
      </c>
      <c r="N34" s="24">
        <f t="shared" si="22"/>
        <v>64.965431999999993</v>
      </c>
      <c r="O34" s="45">
        <f>N34+'caratteristiche della sollecita'!R20</f>
        <v>111.84119346611411</v>
      </c>
    </row>
    <row r="35" spans="4:22" ht="15.75" thickBot="1" x14ac:dyDescent="0.3">
      <c r="D35" s="14"/>
      <c r="E35" s="19" t="s">
        <v>57</v>
      </c>
      <c r="F35" s="24">
        <f t="shared" ref="F35:N35" si="23">F29</f>
        <v>0.9</v>
      </c>
      <c r="G35" s="24">
        <f t="shared" si="23"/>
        <v>3</v>
      </c>
      <c r="H35" s="24">
        <f t="shared" si="23"/>
        <v>0.9</v>
      </c>
      <c r="I35" s="24">
        <f t="shared" si="23"/>
        <v>1.5</v>
      </c>
      <c r="J35" s="24">
        <f t="shared" si="23"/>
        <v>15.399000000000001</v>
      </c>
      <c r="K35" s="24">
        <f t="shared" si="23"/>
        <v>10.956</v>
      </c>
      <c r="L35" s="24">
        <f t="shared" si="23"/>
        <v>9.1999999999999993</v>
      </c>
      <c r="M35" s="24">
        <f t="shared" si="23"/>
        <v>130.33713599999999</v>
      </c>
      <c r="N35" s="24">
        <f t="shared" si="23"/>
        <v>92.731583999999984</v>
      </c>
      <c r="O35" s="46">
        <f>M35</f>
        <v>130.33713599999999</v>
      </c>
    </row>
  </sheetData>
  <mergeCells count="10">
    <mergeCell ref="D26:D28"/>
    <mergeCell ref="D32:D34"/>
    <mergeCell ref="B11:C11"/>
    <mergeCell ref="B12:C12"/>
    <mergeCell ref="D2:D4"/>
    <mergeCell ref="A14:C14"/>
    <mergeCell ref="A24:C24"/>
    <mergeCell ref="D8:D10"/>
    <mergeCell ref="D14:D16"/>
    <mergeCell ref="D20:D22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O65"/>
  <sheetViews>
    <sheetView tabSelected="1" topLeftCell="A23" zoomScale="70" zoomScaleNormal="70" workbookViewId="0">
      <selection activeCell="C53" sqref="C53"/>
    </sheetView>
  </sheetViews>
  <sheetFormatPr defaultRowHeight="15" x14ac:dyDescent="0.25"/>
  <cols>
    <col min="1" max="1" width="26" customWidth="1"/>
    <col min="2" max="2" width="30" bestFit="1" customWidth="1"/>
    <col min="3" max="3" width="24.7109375" customWidth="1"/>
    <col min="4" max="4" width="22.140625" bestFit="1" customWidth="1"/>
    <col min="5" max="5" width="26.140625" customWidth="1"/>
    <col min="6" max="6" width="25.7109375" customWidth="1"/>
    <col min="7" max="7" width="25.85546875" customWidth="1"/>
    <col min="8" max="8" width="25" customWidth="1"/>
    <col min="9" max="9" width="21.42578125" customWidth="1"/>
    <col min="10" max="10" width="20.7109375" customWidth="1"/>
    <col min="11" max="11" width="22.85546875" customWidth="1"/>
    <col min="12" max="12" width="22.140625" bestFit="1" customWidth="1"/>
    <col min="13" max="13" width="20.85546875" bestFit="1" customWidth="1"/>
    <col min="14" max="14" width="9.7109375" bestFit="1" customWidth="1"/>
  </cols>
  <sheetData>
    <row r="1" spans="1:13" ht="40.5" customHeight="1" x14ac:dyDescent="0.25">
      <c r="A1" s="13"/>
      <c r="B1" s="19" t="s">
        <v>49</v>
      </c>
      <c r="C1" s="20" t="s">
        <v>50</v>
      </c>
      <c r="D1" s="59" t="s">
        <v>94</v>
      </c>
      <c r="E1" s="21" t="s">
        <v>85</v>
      </c>
      <c r="F1" s="21" t="s">
        <v>86</v>
      </c>
      <c r="G1" s="21" t="s">
        <v>87</v>
      </c>
      <c r="H1" s="21" t="s">
        <v>88</v>
      </c>
      <c r="I1" s="21" t="s">
        <v>89</v>
      </c>
      <c r="J1" s="21" t="s">
        <v>90</v>
      </c>
      <c r="K1" s="21" t="s">
        <v>91</v>
      </c>
      <c r="L1" s="21" t="s">
        <v>92</v>
      </c>
      <c r="M1" s="21"/>
    </row>
    <row r="2" spans="1:13" x14ac:dyDescent="0.25">
      <c r="A2" s="19" t="s">
        <v>67</v>
      </c>
      <c r="B2" s="27">
        <f>'Dimensionamento Trave'!B2</f>
        <v>10.93</v>
      </c>
      <c r="C2" s="25">
        <f>'Dimensionamento Trave'!C2</f>
        <v>6.7</v>
      </c>
      <c r="D2" s="18" t="s">
        <v>81</v>
      </c>
      <c r="E2" s="23">
        <f>0</f>
        <v>0</v>
      </c>
      <c r="F2" s="23">
        <f>(4*1.35)/4</f>
        <v>1.35</v>
      </c>
      <c r="G2" s="23">
        <f>0</f>
        <v>0</v>
      </c>
      <c r="H2" s="23">
        <f>(4*3)/4</f>
        <v>3</v>
      </c>
      <c r="I2" s="23">
        <f>0</f>
        <v>0</v>
      </c>
      <c r="J2" s="23">
        <f>4/2</f>
        <v>2</v>
      </c>
      <c r="K2" s="23">
        <f>3/2</f>
        <v>1.5</v>
      </c>
      <c r="L2" s="23">
        <f>0</f>
        <v>0</v>
      </c>
      <c r="M2" s="23"/>
    </row>
    <row r="3" spans="1:13" x14ac:dyDescent="0.25">
      <c r="A3" s="19" t="s">
        <v>68</v>
      </c>
      <c r="B3" s="27">
        <f>'Dimensionamento Trave'!B3</f>
        <v>11.1</v>
      </c>
      <c r="C3" s="25">
        <f>'Dimensionamento Trave'!C3</f>
        <v>5.12</v>
      </c>
      <c r="D3" s="47" t="s">
        <v>83</v>
      </c>
      <c r="E3" s="23">
        <f>(4*4.7)/4</f>
        <v>4.7</v>
      </c>
      <c r="F3" s="23">
        <f>(4.7*4.6)/4</f>
        <v>5.4049999999999994</v>
      </c>
      <c r="G3" s="23">
        <f>(5*4)/4</f>
        <v>5</v>
      </c>
      <c r="H3" s="23">
        <f>(4.6*5)/4</f>
        <v>5.75</v>
      </c>
      <c r="I3" s="23">
        <f>4.7/2</f>
        <v>2.35</v>
      </c>
      <c r="J3" s="23">
        <f>4.6/2</f>
        <v>2.2999999999999998</v>
      </c>
      <c r="K3" s="23">
        <f>5/2</f>
        <v>2.5</v>
      </c>
      <c r="L3" s="23">
        <f>4/2</f>
        <v>2</v>
      </c>
      <c r="M3" s="23"/>
    </row>
    <row r="4" spans="1:13" x14ac:dyDescent="0.25">
      <c r="A4" s="19" t="s">
        <v>69</v>
      </c>
      <c r="B4" s="27">
        <f>'Dimensionamento Trave'!B4</f>
        <v>12.89</v>
      </c>
      <c r="C4" s="25">
        <f>'Dimensionamento Trave'!C4</f>
        <v>6.5</v>
      </c>
      <c r="D4" s="47" t="s">
        <v>84</v>
      </c>
      <c r="E4" s="23">
        <f>(1.35*5)/4</f>
        <v>1.6875</v>
      </c>
      <c r="F4" s="23">
        <f>(5*4)/4</f>
        <v>5</v>
      </c>
      <c r="G4" s="23">
        <f>(1.35*1.35)/4</f>
        <v>0.45562500000000006</v>
      </c>
      <c r="H4" s="23">
        <f>(4*1.35)/4</f>
        <v>1.35</v>
      </c>
      <c r="I4" s="23">
        <f>5/2</f>
        <v>2.5</v>
      </c>
      <c r="J4" s="23">
        <f>4/2</f>
        <v>2</v>
      </c>
      <c r="K4" s="23">
        <f>0</f>
        <v>0</v>
      </c>
      <c r="L4" s="23">
        <f>0</f>
        <v>0</v>
      </c>
      <c r="M4" s="23"/>
    </row>
    <row r="5" spans="1:13" x14ac:dyDescent="0.25">
      <c r="A5" s="19" t="s">
        <v>78</v>
      </c>
      <c r="B5" s="27">
        <f>'Dimensionamento Trave'!B5</f>
        <v>5.59</v>
      </c>
      <c r="C5" s="25">
        <f>'Dimensionamento Trave'!C5</f>
        <v>4.3</v>
      </c>
      <c r="E5" s="18"/>
      <c r="F5" s="18"/>
      <c r="G5" s="23"/>
      <c r="H5" s="23"/>
      <c r="I5" s="23"/>
      <c r="J5" s="23"/>
      <c r="K5" s="18"/>
      <c r="L5" s="23"/>
      <c r="M5" s="23"/>
    </row>
    <row r="6" spans="1:13" ht="30" x14ac:dyDescent="0.25">
      <c r="A6" s="19" t="s">
        <v>66</v>
      </c>
      <c r="B6" s="27">
        <f>'Dimensionamento Trave'!B6</f>
        <v>2.74</v>
      </c>
      <c r="C6" s="25">
        <f>'Dimensionamento Trave'!C6</f>
        <v>2.11</v>
      </c>
      <c r="D6" s="59" t="s">
        <v>95</v>
      </c>
      <c r="E6" s="21" t="s">
        <v>85</v>
      </c>
      <c r="F6" s="21" t="s">
        <v>86</v>
      </c>
      <c r="G6" s="21" t="s">
        <v>87</v>
      </c>
      <c r="H6" s="21" t="s">
        <v>88</v>
      </c>
      <c r="I6" s="21" t="s">
        <v>89</v>
      </c>
      <c r="J6" s="21" t="s">
        <v>90</v>
      </c>
      <c r="K6" s="21" t="s">
        <v>91</v>
      </c>
      <c r="L6" s="21" t="s">
        <v>92</v>
      </c>
    </row>
    <row r="7" spans="1:13" x14ac:dyDescent="0.25">
      <c r="A7" s="19" t="s">
        <v>51</v>
      </c>
      <c r="B7" s="27">
        <f>'Dimensionamento Trave'!B7</f>
        <v>9.15</v>
      </c>
      <c r="C7" s="25">
        <f>'Dimensionamento Trave'!C7</f>
        <v>7.04</v>
      </c>
      <c r="D7" s="49" t="s">
        <v>81</v>
      </c>
      <c r="E7" s="23">
        <f>(0.9*0.9)/4</f>
        <v>0.20250000000000001</v>
      </c>
      <c r="F7" s="23">
        <f>(0.9*4)/4</f>
        <v>0.9</v>
      </c>
      <c r="G7" s="23">
        <f>(0.9*3)/4</f>
        <v>0.67500000000000004</v>
      </c>
      <c r="H7" s="23">
        <f>(4*3)/4</f>
        <v>3</v>
      </c>
      <c r="I7" s="23">
        <f>0</f>
        <v>0</v>
      </c>
      <c r="J7" s="23">
        <f>4/2</f>
        <v>2</v>
      </c>
      <c r="K7" s="23">
        <f>3/2</f>
        <v>1.5</v>
      </c>
      <c r="L7" s="23">
        <f>0</f>
        <v>0</v>
      </c>
    </row>
    <row r="8" spans="1:13" x14ac:dyDescent="0.25">
      <c r="A8" s="19" t="s">
        <v>52</v>
      </c>
      <c r="B8" s="27">
        <f>'Dimensionamento Trave'!B8</f>
        <v>4.33</v>
      </c>
      <c r="C8" s="25">
        <f>'Dimensionamento Trave'!C8</f>
        <v>3.33</v>
      </c>
      <c r="D8" s="49" t="s">
        <v>82</v>
      </c>
      <c r="E8" s="23">
        <f>(4.6*0.9)/4</f>
        <v>1.0349999999999999</v>
      </c>
      <c r="F8" s="23">
        <f>(0.9*9.2)/4</f>
        <v>2.0699999999999998</v>
      </c>
      <c r="G8" s="23">
        <f>(4.6*3)/4</f>
        <v>3.4499999999999997</v>
      </c>
      <c r="H8" s="23">
        <f>(3*9.2)/4</f>
        <v>6.8999999999999995</v>
      </c>
      <c r="I8" s="23">
        <f>0</f>
        <v>0</v>
      </c>
      <c r="J8" s="23">
        <f>9.2/2</f>
        <v>4.5999999999999996</v>
      </c>
      <c r="K8" s="23">
        <f>3/2</f>
        <v>1.5</v>
      </c>
      <c r="L8" s="23">
        <f>4.6/2</f>
        <v>2.2999999999999998</v>
      </c>
    </row>
    <row r="9" spans="1:13" x14ac:dyDescent="0.25">
      <c r="A9" s="19" t="s">
        <v>70</v>
      </c>
      <c r="B9" s="27">
        <f>'Dimensionamento Trave'!B9</f>
        <v>4.95</v>
      </c>
      <c r="C9" s="25">
        <f>'Dimensionamento Trave'!C9</f>
        <v>3.38</v>
      </c>
      <c r="D9" s="49" t="s">
        <v>83</v>
      </c>
      <c r="E9" s="23">
        <f>E3</f>
        <v>4.7</v>
      </c>
      <c r="F9" s="23">
        <f t="shared" ref="F9:L9" si="0">F3</f>
        <v>5.4049999999999994</v>
      </c>
      <c r="G9" s="23">
        <f t="shared" si="0"/>
        <v>5</v>
      </c>
      <c r="H9" s="23">
        <f t="shared" si="0"/>
        <v>5.75</v>
      </c>
      <c r="I9" s="23">
        <f t="shared" si="0"/>
        <v>2.35</v>
      </c>
      <c r="J9" s="23">
        <f t="shared" si="0"/>
        <v>2.2999999999999998</v>
      </c>
      <c r="K9" s="23">
        <f t="shared" si="0"/>
        <v>2.5</v>
      </c>
      <c r="L9" s="23">
        <f t="shared" si="0"/>
        <v>2</v>
      </c>
    </row>
    <row r="10" spans="1:13" x14ac:dyDescent="0.25">
      <c r="A10" s="19" t="s">
        <v>71</v>
      </c>
      <c r="B10" s="27">
        <f>'Dimensionamento Trave'!B10</f>
        <v>8.86</v>
      </c>
      <c r="C10" s="25">
        <f>'Dimensionamento Trave'!C10</f>
        <v>6.54</v>
      </c>
      <c r="D10" s="49" t="s">
        <v>84</v>
      </c>
      <c r="E10" s="23">
        <f>(0.9*5)/4</f>
        <v>1.125</v>
      </c>
      <c r="F10" s="23">
        <f>(4*5)/4</f>
        <v>5</v>
      </c>
      <c r="G10" s="23">
        <f>(0.9*0.9)/4</f>
        <v>0.20250000000000001</v>
      </c>
      <c r="H10" s="23">
        <f>(0.9*4)/4</f>
        <v>0.9</v>
      </c>
      <c r="I10" s="23">
        <f>5/2</f>
        <v>2.5</v>
      </c>
      <c r="J10" s="23">
        <f>4/2</f>
        <v>2</v>
      </c>
      <c r="K10" s="23">
        <f>0</f>
        <v>0</v>
      </c>
      <c r="L10" s="23">
        <f>0</f>
        <v>0</v>
      </c>
    </row>
    <row r="11" spans="1:13" x14ac:dyDescent="0.25">
      <c r="B11" s="202"/>
      <c r="C11" s="202"/>
      <c r="D11" s="202"/>
      <c r="E11" s="202"/>
      <c r="F11" s="202"/>
      <c r="G11" s="17"/>
    </row>
    <row r="12" spans="1:13" x14ac:dyDescent="0.25">
      <c r="B12" s="202"/>
      <c r="C12" s="202"/>
      <c r="D12" s="202"/>
      <c r="E12" s="202"/>
      <c r="F12" s="202"/>
      <c r="G12" s="17"/>
      <c r="H12" s="202"/>
      <c r="I12" s="202"/>
      <c r="J12" s="17"/>
    </row>
    <row r="13" spans="1:13" ht="40.5" customHeight="1" x14ac:dyDescent="0.25">
      <c r="A13" s="59" t="s">
        <v>94</v>
      </c>
      <c r="B13" s="51" t="s">
        <v>96</v>
      </c>
      <c r="C13" s="51" t="s">
        <v>97</v>
      </c>
      <c r="E13" s="71"/>
      <c r="F13" s="61"/>
      <c r="G13" s="61"/>
      <c r="H13" s="61"/>
      <c r="I13" s="61"/>
    </row>
    <row r="14" spans="1:13" ht="30" customHeight="1" x14ac:dyDescent="0.25">
      <c r="A14" s="49" t="s">
        <v>81</v>
      </c>
      <c r="B14" s="23">
        <f>E2+F2*C3+G2+H2*C2+I2*C3+J2*C5+K2*C5+L2+J2*C7+K2*C7</f>
        <v>66.701999999999998</v>
      </c>
      <c r="C14" s="23">
        <f>(0.1*B14)+B14</f>
        <v>73.372199999999992</v>
      </c>
    </row>
    <row r="15" spans="1:13" x14ac:dyDescent="0.25">
      <c r="A15" s="49" t="s">
        <v>83</v>
      </c>
      <c r="B15" s="23">
        <f>E3*C2+F3*C2+G3*C2+H3*C2+I3*C5+J3*C5+K3*C6+L3*C5</f>
        <v>173.59849999999997</v>
      </c>
      <c r="C15" s="23">
        <f>(0.1*B15)+B15</f>
        <v>190.95834999999997</v>
      </c>
      <c r="D15" s="70"/>
    </row>
    <row r="16" spans="1:13" x14ac:dyDescent="0.25">
      <c r="A16" s="49" t="s">
        <v>84</v>
      </c>
      <c r="B16" s="23">
        <f>E4*C3+F4*C2+G4*C3+H4*C3+I4*C5+J4*C5+K4+L4+I4*C7+J4*C7</f>
        <v>102.4148</v>
      </c>
      <c r="C16" s="23">
        <f>(0.1*B16)+B16</f>
        <v>112.65628</v>
      </c>
      <c r="D16" s="70"/>
    </row>
    <row r="17" spans="1:15" ht="15.75" thickBot="1" x14ac:dyDescent="0.3"/>
    <row r="18" spans="1:15" ht="30" x14ac:dyDescent="0.25">
      <c r="E18" s="52" t="s">
        <v>9</v>
      </c>
      <c r="F18" s="53" t="s">
        <v>35</v>
      </c>
      <c r="G18" s="53" t="s">
        <v>99</v>
      </c>
      <c r="H18" s="53" t="s">
        <v>100</v>
      </c>
      <c r="I18" s="54" t="s">
        <v>98</v>
      </c>
    </row>
    <row r="19" spans="1:15" ht="59.25" x14ac:dyDescent="0.25">
      <c r="A19" s="59" t="s">
        <v>95</v>
      </c>
      <c r="B19" s="51" t="s">
        <v>96</v>
      </c>
      <c r="C19" s="51" t="s">
        <v>97</v>
      </c>
      <c r="E19" s="50" t="s">
        <v>47</v>
      </c>
      <c r="F19" s="27">
        <f>'caratteristiche della sollecita'!T20</f>
        <v>140.62728439834234</v>
      </c>
      <c r="G19" s="60">
        <f>C20</f>
        <v>29.516616250000002</v>
      </c>
      <c r="H19" s="60">
        <f>C22</f>
        <v>114.79589</v>
      </c>
      <c r="I19" s="55">
        <f>'caratteristiche della sollecita'!T4</f>
        <v>16.622610448976637</v>
      </c>
    </row>
    <row r="20" spans="1:15" ht="18.75" customHeight="1" x14ac:dyDescent="0.25">
      <c r="A20" s="49" t="s">
        <v>81</v>
      </c>
      <c r="B20" s="23">
        <f>E7*C10+F7*E7+G7*E7+H7*C9+I7+C5*J7+K7*C5+L7</f>
        <v>26.833287500000001</v>
      </c>
      <c r="C20" s="23">
        <f>(0.1*B20)+B20</f>
        <v>29.516616250000002</v>
      </c>
      <c r="E20" s="50">
        <v>5</v>
      </c>
      <c r="F20" s="27">
        <f>'caratteristiche della sollecita'!T21</f>
        <v>232.59391758605568</v>
      </c>
      <c r="G20" s="27">
        <f>G19+$C$14</f>
        <v>102.88881624999999</v>
      </c>
      <c r="H20" s="27">
        <f t="shared" ref="H20:H25" si="1">H19+$C$15</f>
        <v>305.75423999999998</v>
      </c>
      <c r="I20" s="55">
        <f>'caratteristiche della sollecita'!T5</f>
        <v>60.738591771009496</v>
      </c>
    </row>
    <row r="21" spans="1:15" x14ac:dyDescent="0.25">
      <c r="A21" s="49" t="s">
        <v>82</v>
      </c>
      <c r="B21" s="23">
        <f>E8*C10+F8*C10+G8*C9+H8*C9+I8+J8*B5+K8*C5+L8*C5</f>
        <v>97.343699999999998</v>
      </c>
      <c r="C21" s="23">
        <f>(0.1*B21)+B21</f>
        <v>107.07807</v>
      </c>
      <c r="E21" s="50">
        <v>4</v>
      </c>
      <c r="F21" s="27">
        <f>'caratteristiche della sollecita'!T22</f>
        <v>306.49567639761108</v>
      </c>
      <c r="G21" s="27">
        <f>G20+$C$14</f>
        <v>176.26101624999998</v>
      </c>
      <c r="H21" s="27">
        <f t="shared" si="1"/>
        <v>496.71258999999998</v>
      </c>
      <c r="I21" s="55">
        <f>'caratteristiche della sollecita'!T6</f>
        <v>124.46076600075733</v>
      </c>
    </row>
    <row r="22" spans="1:15" x14ac:dyDescent="0.25">
      <c r="A22" s="49" t="s">
        <v>83</v>
      </c>
      <c r="B22" s="23">
        <f>E3*C9+F3*C9+G3*C9+H3*C9+I3*C5+J3*C5+K3*C6+L3*C5</f>
        <v>104.3599</v>
      </c>
      <c r="C22" s="23">
        <f>(0.1*B22)+B22</f>
        <v>114.79589</v>
      </c>
      <c r="E22" s="50">
        <v>3</v>
      </c>
      <c r="F22" s="27">
        <f>'caratteristiche della sollecita'!T23</f>
        <v>362.33256083300847</v>
      </c>
      <c r="G22" s="27">
        <f t="shared" ref="G20:G25" si="2">G21+$C$14</f>
        <v>249.63321624999998</v>
      </c>
      <c r="H22" s="27">
        <f t="shared" si="1"/>
        <v>687.67093999999997</v>
      </c>
      <c r="I22" s="55">
        <f>'caratteristiche della sollecita'!T7</f>
        <v>203.51847725733174</v>
      </c>
    </row>
    <row r="23" spans="1:15" x14ac:dyDescent="0.25">
      <c r="A23" s="49" t="s">
        <v>84</v>
      </c>
      <c r="B23" s="23">
        <f>E10*C10+F10*C9+G10*C10+H10*C10+I10*C5+J10*C5+K10+L10</f>
        <v>50.81785</v>
      </c>
      <c r="C23" s="23">
        <f>(0.1*B23)+B23</f>
        <v>55.899635000000004</v>
      </c>
      <c r="E23" s="50">
        <v>2</v>
      </c>
      <c r="F23" s="27">
        <f>'caratteristiche della sollecita'!T24</f>
        <v>400.10457089224792</v>
      </c>
      <c r="G23" s="27">
        <f t="shared" si="2"/>
        <v>323.00541624999994</v>
      </c>
      <c r="H23" s="27">
        <f t="shared" si="1"/>
        <v>878.62928999999997</v>
      </c>
      <c r="I23" s="55">
        <f>'caratteristiche della sollecita'!T8</f>
        <v>293.64106965984433</v>
      </c>
    </row>
    <row r="24" spans="1:15" x14ac:dyDescent="0.25">
      <c r="E24" s="50" t="s">
        <v>24</v>
      </c>
      <c r="F24" s="27">
        <f>'caratteristiche della sollecita'!T25</f>
        <v>362.66245714285731</v>
      </c>
      <c r="G24" s="27">
        <f t="shared" si="2"/>
        <v>396.37761624999996</v>
      </c>
      <c r="H24" s="27">
        <f t="shared" si="1"/>
        <v>1069.58764</v>
      </c>
      <c r="I24" s="55">
        <f>'caratteristiche della sollecita'!T9</f>
        <v>383.80265689803645</v>
      </c>
      <c r="K24" s="69"/>
    </row>
    <row r="25" spans="1:15" ht="15.75" thickBot="1" x14ac:dyDescent="0.3">
      <c r="E25" s="56" t="s">
        <v>25</v>
      </c>
      <c r="F25" s="57">
        <f>'caratteristiche della sollecita'!T26</f>
        <v>362.66245714285731</v>
      </c>
      <c r="G25" s="57">
        <f t="shared" si="2"/>
        <v>469.74981624999998</v>
      </c>
      <c r="H25" s="57">
        <f t="shared" si="1"/>
        <v>1260.5459899999998</v>
      </c>
      <c r="I25" s="58">
        <f>'caratteristiche della sollecita'!T10</f>
        <v>495.39819550400972</v>
      </c>
      <c r="K25" s="19"/>
    </row>
    <row r="26" spans="1:15" x14ac:dyDescent="0.25">
      <c r="K26" s="19"/>
    </row>
    <row r="28" spans="1:15" x14ac:dyDescent="0.25">
      <c r="H28" s="22"/>
      <c r="N28" s="203"/>
      <c r="O28" s="203"/>
    </row>
    <row r="29" spans="1:15" x14ac:dyDescent="0.25">
      <c r="N29" s="7"/>
    </row>
    <row r="31" spans="1:15" ht="15.75" thickBot="1" x14ac:dyDescent="0.3"/>
    <row r="32" spans="1:15" ht="30" x14ac:dyDescent="0.25">
      <c r="H32" s="106" t="s">
        <v>9</v>
      </c>
      <c r="I32" s="53" t="s">
        <v>35</v>
      </c>
      <c r="J32" s="53" t="s">
        <v>315</v>
      </c>
      <c r="K32" s="54" t="s">
        <v>166</v>
      </c>
    </row>
    <row r="33" spans="1:11" x14ac:dyDescent="0.25">
      <c r="H33" s="103" t="s">
        <v>47</v>
      </c>
      <c r="I33" s="27">
        <f>F19</f>
        <v>140.62728439834234</v>
      </c>
      <c r="J33" s="27">
        <f>G19-I19</f>
        <v>12.894005801023365</v>
      </c>
      <c r="K33" s="107">
        <f>H19+I19</f>
        <v>131.41850044897663</v>
      </c>
    </row>
    <row r="34" spans="1:11" x14ac:dyDescent="0.25">
      <c r="H34" s="103">
        <v>5</v>
      </c>
      <c r="I34" s="27">
        <f>F20</f>
        <v>232.59391758605568</v>
      </c>
      <c r="J34" s="27">
        <f>G20-I20</f>
        <v>42.150224478990495</v>
      </c>
      <c r="K34" s="107">
        <f>H20+I20</f>
        <v>366.49283177100949</v>
      </c>
    </row>
    <row r="35" spans="1:11" x14ac:dyDescent="0.25">
      <c r="H35" s="103">
        <v>4</v>
      </c>
      <c r="I35" s="27">
        <f>F21</f>
        <v>306.49567639761108</v>
      </c>
      <c r="J35" s="27">
        <f>G21-I21</f>
        <v>51.800250249242652</v>
      </c>
      <c r="K35" s="107">
        <f>H21+I21</f>
        <v>621.17335600075728</v>
      </c>
    </row>
    <row r="36" spans="1:11" x14ac:dyDescent="0.25">
      <c r="H36" s="103">
        <v>3</v>
      </c>
      <c r="I36" s="27">
        <f>F22</f>
        <v>362.33256083300847</v>
      </c>
      <c r="J36" s="27">
        <f>G22-I22</f>
        <v>46.114738992668237</v>
      </c>
      <c r="K36" s="107">
        <f>H22+I22</f>
        <v>891.18941725733168</v>
      </c>
    </row>
    <row r="37" spans="1:11" ht="15.75" thickBot="1" x14ac:dyDescent="0.3">
      <c r="H37" s="103">
        <v>2</v>
      </c>
      <c r="I37" s="27">
        <f>F23</f>
        <v>400.10457089224792</v>
      </c>
      <c r="J37" s="27">
        <f>G23-I23</f>
        <v>29.364346590155606</v>
      </c>
      <c r="K37" s="107">
        <f>H23+I23</f>
        <v>1172.2703596598444</v>
      </c>
    </row>
    <row r="38" spans="1:11" ht="30.75" thickBot="1" x14ac:dyDescent="0.3">
      <c r="A38" s="62" t="s">
        <v>101</v>
      </c>
      <c r="B38" s="63"/>
      <c r="H38" s="109">
        <v>1</v>
      </c>
      <c r="I38" s="57">
        <f>F23</f>
        <v>400.10457089224792</v>
      </c>
      <c r="J38" s="57">
        <f>G23-I23</f>
        <v>29.364346590155606</v>
      </c>
      <c r="K38" s="58">
        <f>H23+I23</f>
        <v>1172.2703596598444</v>
      </c>
    </row>
    <row r="39" spans="1:11" x14ac:dyDescent="0.25">
      <c r="A39" s="64" t="s">
        <v>102</v>
      </c>
      <c r="B39" s="65">
        <f>F23</f>
        <v>400.10457089224792</v>
      </c>
    </row>
    <row r="40" spans="1:11" ht="18" x14ac:dyDescent="0.25">
      <c r="A40" s="64" t="s">
        <v>103</v>
      </c>
      <c r="B40" s="65">
        <f>G23-I23</f>
        <v>29.364346590155606</v>
      </c>
    </row>
    <row r="41" spans="1:11" x14ac:dyDescent="0.25">
      <c r="A41" s="66"/>
      <c r="B41" s="65"/>
    </row>
    <row r="42" spans="1:11" x14ac:dyDescent="0.25">
      <c r="A42" s="64" t="s">
        <v>102</v>
      </c>
      <c r="B42" s="65">
        <f>MAX(F19:F25)</f>
        <v>400.10457089224792</v>
      </c>
      <c r="F42" s="22"/>
    </row>
    <row r="43" spans="1:11" ht="18.75" thickBot="1" x14ac:dyDescent="0.3">
      <c r="A43" s="67" t="s">
        <v>104</v>
      </c>
      <c r="B43" s="68">
        <f>H23+I23</f>
        <v>1172.2703596598444</v>
      </c>
    </row>
    <row r="48" spans="1:11" ht="15.75" thickBot="1" x14ac:dyDescent="0.3"/>
    <row r="49" spans="1:3" x14ac:dyDescent="0.25">
      <c r="A49" s="262" t="s">
        <v>153</v>
      </c>
      <c r="B49" s="264"/>
    </row>
    <row r="50" spans="1:3" x14ac:dyDescent="0.25">
      <c r="A50" s="86" t="s">
        <v>47</v>
      </c>
      <c r="B50" s="95" t="s">
        <v>316</v>
      </c>
      <c r="C50" s="94"/>
    </row>
    <row r="51" spans="1:3" x14ac:dyDescent="0.25">
      <c r="A51" s="86">
        <v>5</v>
      </c>
      <c r="B51" s="96" t="s">
        <v>316</v>
      </c>
    </row>
    <row r="52" spans="1:3" x14ac:dyDescent="0.25">
      <c r="A52" s="86">
        <v>4</v>
      </c>
      <c r="B52" s="96" t="s">
        <v>317</v>
      </c>
    </row>
    <row r="53" spans="1:3" x14ac:dyDescent="0.25">
      <c r="A53" s="86">
        <v>3</v>
      </c>
      <c r="B53" s="96" t="s">
        <v>317</v>
      </c>
    </row>
    <row r="54" spans="1:3" x14ac:dyDescent="0.25">
      <c r="A54" s="86">
        <v>2</v>
      </c>
      <c r="B54" s="96" t="s">
        <v>318</v>
      </c>
    </row>
    <row r="55" spans="1:3" ht="15.75" thickBot="1" x14ac:dyDescent="0.3">
      <c r="A55" s="56">
        <v>1</v>
      </c>
      <c r="B55" s="97" t="s">
        <v>318</v>
      </c>
    </row>
    <row r="57" spans="1:3" ht="15.75" thickBot="1" x14ac:dyDescent="0.3"/>
    <row r="58" spans="1:3" x14ac:dyDescent="0.25">
      <c r="A58" s="262" t="s">
        <v>153</v>
      </c>
      <c r="B58" s="263"/>
      <c r="C58" s="263"/>
    </row>
    <row r="59" spans="1:3" ht="30" x14ac:dyDescent="0.25">
      <c r="A59" s="108" t="s">
        <v>161</v>
      </c>
      <c r="B59" s="104" t="s">
        <v>163</v>
      </c>
      <c r="C59" s="105" t="s">
        <v>162</v>
      </c>
    </row>
    <row r="60" spans="1:3" x14ac:dyDescent="0.25">
      <c r="A60" s="103" t="s">
        <v>47</v>
      </c>
      <c r="B60" s="19">
        <v>30</v>
      </c>
      <c r="C60" s="113">
        <v>60</v>
      </c>
    </row>
    <row r="61" spans="1:3" x14ac:dyDescent="0.25">
      <c r="A61" s="103">
        <v>5</v>
      </c>
      <c r="B61" s="19">
        <v>30</v>
      </c>
      <c r="C61" s="113">
        <v>60</v>
      </c>
    </row>
    <row r="62" spans="1:3" x14ac:dyDescent="0.25">
      <c r="A62" s="103">
        <v>4</v>
      </c>
      <c r="B62" s="19">
        <v>30</v>
      </c>
      <c r="C62" s="113">
        <v>70</v>
      </c>
    </row>
    <row r="63" spans="1:3" x14ac:dyDescent="0.25">
      <c r="A63" s="103">
        <v>3</v>
      </c>
      <c r="B63" s="19">
        <v>30</v>
      </c>
      <c r="C63" s="113">
        <v>70</v>
      </c>
    </row>
    <row r="64" spans="1:3" x14ac:dyDescent="0.25">
      <c r="A64" s="103">
        <v>2</v>
      </c>
      <c r="B64" s="19">
        <v>30</v>
      </c>
      <c r="C64" s="113">
        <v>80</v>
      </c>
    </row>
    <row r="65" spans="1:3" ht="15.75" thickBot="1" x14ac:dyDescent="0.3">
      <c r="A65" s="109">
        <v>1</v>
      </c>
      <c r="B65" s="112">
        <v>30</v>
      </c>
      <c r="C65" s="114">
        <v>80</v>
      </c>
    </row>
  </sheetData>
  <mergeCells count="8">
    <mergeCell ref="A58:C58"/>
    <mergeCell ref="N28:O28"/>
    <mergeCell ref="A49:B49"/>
    <mergeCell ref="B11:C11"/>
    <mergeCell ref="D11:F11"/>
    <mergeCell ref="B12:C12"/>
    <mergeCell ref="D12:F12"/>
    <mergeCell ref="H12:I12"/>
  </mergeCells>
  <pageMargins left="0.7" right="0.7" top="0.75" bottom="0.75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T49"/>
  <sheetViews>
    <sheetView topLeftCell="B34" zoomScale="70" zoomScaleNormal="70" workbookViewId="0">
      <selection activeCell="G28" sqref="G28"/>
    </sheetView>
  </sheetViews>
  <sheetFormatPr defaultRowHeight="15" x14ac:dyDescent="0.25"/>
  <cols>
    <col min="1" max="1" width="40.7109375" bestFit="1" customWidth="1"/>
    <col min="2" max="2" width="15.140625" customWidth="1"/>
    <col min="3" max="3" width="39.42578125" customWidth="1"/>
    <col min="4" max="4" width="21.7109375" bestFit="1" customWidth="1"/>
    <col min="5" max="5" width="28.140625" customWidth="1"/>
    <col min="6" max="6" width="16.42578125" bestFit="1" customWidth="1"/>
    <col min="7" max="7" width="30.42578125" customWidth="1"/>
    <col min="8" max="8" width="13.5703125" bestFit="1" customWidth="1"/>
    <col min="9" max="9" width="28.5703125" bestFit="1" customWidth="1"/>
    <col min="10" max="10" width="12.42578125" customWidth="1"/>
    <col min="11" max="11" width="29.140625" customWidth="1"/>
    <col min="12" max="12" width="12" bestFit="1" customWidth="1"/>
    <col min="13" max="13" width="25.85546875" bestFit="1" customWidth="1"/>
    <col min="14" max="14" width="13.5703125" bestFit="1" customWidth="1"/>
    <col min="15" max="15" width="27.28515625" bestFit="1" customWidth="1"/>
    <col min="16" max="16" width="13.5703125" bestFit="1" customWidth="1"/>
    <col min="17" max="17" width="25.85546875" bestFit="1" customWidth="1"/>
    <col min="18" max="18" width="13.5703125" bestFit="1" customWidth="1"/>
    <col min="19" max="19" width="27.28515625" bestFit="1" customWidth="1"/>
    <col min="20" max="20" width="13.5703125" bestFit="1" customWidth="1"/>
  </cols>
  <sheetData>
    <row r="1" spans="1:20" x14ac:dyDescent="0.25">
      <c r="A1" s="203" t="s">
        <v>115</v>
      </c>
      <c r="B1" s="203"/>
      <c r="C1" s="203"/>
      <c r="D1" s="203"/>
      <c r="E1" s="203" t="s">
        <v>313</v>
      </c>
      <c r="F1" s="203"/>
      <c r="G1" s="203"/>
      <c r="H1" s="203"/>
      <c r="I1" s="203" t="s">
        <v>312</v>
      </c>
      <c r="J1" s="203"/>
      <c r="K1" s="203"/>
      <c r="L1" s="203"/>
      <c r="M1" s="203" t="s">
        <v>314</v>
      </c>
      <c r="N1" s="203"/>
      <c r="O1" s="203"/>
      <c r="P1" s="203"/>
      <c r="Q1" s="203" t="s">
        <v>116</v>
      </c>
      <c r="R1" s="203"/>
      <c r="S1" s="203"/>
      <c r="T1" s="203"/>
    </row>
    <row r="4" spans="1:20" x14ac:dyDescent="0.25">
      <c r="A4" s="83" t="s">
        <v>117</v>
      </c>
      <c r="C4" s="83" t="s">
        <v>118</v>
      </c>
      <c r="E4" s="83" t="s">
        <v>117</v>
      </c>
      <c r="G4" s="83" t="s">
        <v>118</v>
      </c>
      <c r="I4" s="83" t="s">
        <v>117</v>
      </c>
      <c r="K4" s="83" t="s">
        <v>118</v>
      </c>
      <c r="M4" s="181" t="s">
        <v>117</v>
      </c>
      <c r="O4" s="181" t="s">
        <v>118</v>
      </c>
      <c r="Q4" s="181" t="s">
        <v>117</v>
      </c>
      <c r="S4" s="181" t="s">
        <v>118</v>
      </c>
    </row>
    <row r="5" spans="1:20" x14ac:dyDescent="0.25">
      <c r="A5" s="83" t="s">
        <v>119</v>
      </c>
      <c r="B5" s="83">
        <v>300</v>
      </c>
      <c r="C5" s="83" t="s">
        <v>120</v>
      </c>
      <c r="D5" s="83">
        <f>B5</f>
        <v>300</v>
      </c>
      <c r="E5" s="83" t="s">
        <v>120</v>
      </c>
      <c r="F5" s="83">
        <v>300</v>
      </c>
      <c r="G5" s="83" t="s">
        <v>120</v>
      </c>
      <c r="H5" s="83">
        <f>F5</f>
        <v>300</v>
      </c>
      <c r="I5" s="83" t="s">
        <v>120</v>
      </c>
      <c r="J5" s="83">
        <v>300</v>
      </c>
      <c r="K5" s="83" t="s">
        <v>120</v>
      </c>
      <c r="L5" s="83">
        <f>J5</f>
        <v>300</v>
      </c>
      <c r="M5" s="181" t="s">
        <v>120</v>
      </c>
      <c r="N5" s="181">
        <v>300</v>
      </c>
      <c r="O5" s="181" t="s">
        <v>120</v>
      </c>
      <c r="P5" s="181">
        <f>N5</f>
        <v>300</v>
      </c>
      <c r="Q5" s="181" t="s">
        <v>120</v>
      </c>
      <c r="R5" s="181">
        <v>300</v>
      </c>
      <c r="S5" s="181" t="s">
        <v>120</v>
      </c>
      <c r="T5" s="181">
        <f>R5</f>
        <v>300</v>
      </c>
    </row>
    <row r="6" spans="1:20" x14ac:dyDescent="0.25">
      <c r="A6" s="83" t="s">
        <v>121</v>
      </c>
      <c r="B6" s="83">
        <v>800</v>
      </c>
      <c r="C6" s="83" t="s">
        <v>122</v>
      </c>
      <c r="D6" s="83">
        <v>700</v>
      </c>
      <c r="E6" s="83" t="s">
        <v>122</v>
      </c>
      <c r="F6" s="83">
        <v>700</v>
      </c>
      <c r="G6" s="83" t="s">
        <v>122</v>
      </c>
      <c r="H6" s="83">
        <f>F6</f>
        <v>700</v>
      </c>
      <c r="I6" s="83" t="s">
        <v>122</v>
      </c>
      <c r="J6" s="83">
        <v>700</v>
      </c>
      <c r="K6" s="83" t="s">
        <v>122</v>
      </c>
      <c r="L6" s="83">
        <v>600</v>
      </c>
      <c r="M6" s="181" t="s">
        <v>122</v>
      </c>
      <c r="N6" s="181">
        <v>600</v>
      </c>
      <c r="O6" s="181" t="s">
        <v>122</v>
      </c>
      <c r="P6" s="181">
        <v>600</v>
      </c>
      <c r="Q6" s="181" t="s">
        <v>122</v>
      </c>
      <c r="R6" s="181">
        <v>600</v>
      </c>
      <c r="S6" s="181" t="s">
        <v>122</v>
      </c>
      <c r="T6" s="181">
        <v>500</v>
      </c>
    </row>
    <row r="7" spans="1:20" x14ac:dyDescent="0.25">
      <c r="A7" s="83" t="s">
        <v>123</v>
      </c>
      <c r="B7" s="83">
        <v>3600</v>
      </c>
      <c r="C7" s="83" t="s">
        <v>124</v>
      </c>
      <c r="D7" s="83">
        <f>((3.6+4.6+2.9+3)/4)*1000</f>
        <v>3525</v>
      </c>
      <c r="E7" s="83" t="s">
        <v>125</v>
      </c>
      <c r="F7" s="83">
        <v>3300</v>
      </c>
      <c r="G7" s="83" t="s">
        <v>126</v>
      </c>
      <c r="H7" s="83">
        <f>D7</f>
        <v>3525</v>
      </c>
      <c r="I7" s="83" t="s">
        <v>125</v>
      </c>
      <c r="J7" s="83">
        <v>3300</v>
      </c>
      <c r="K7" s="83" t="s">
        <v>126</v>
      </c>
      <c r="L7" s="83">
        <f>H7</f>
        <v>3525</v>
      </c>
      <c r="M7" s="181" t="s">
        <v>125</v>
      </c>
      <c r="N7" s="181">
        <v>3300</v>
      </c>
      <c r="O7" s="181" t="s">
        <v>126</v>
      </c>
      <c r="P7" s="181">
        <f>L7</f>
        <v>3525</v>
      </c>
      <c r="Q7" s="181" t="s">
        <v>125</v>
      </c>
      <c r="R7" s="181">
        <v>3300</v>
      </c>
      <c r="S7" s="181" t="s">
        <v>126</v>
      </c>
      <c r="T7" s="181">
        <f>P7</f>
        <v>3525</v>
      </c>
    </row>
    <row r="8" spans="1:20" x14ac:dyDescent="0.25">
      <c r="A8" s="83" t="s">
        <v>127</v>
      </c>
      <c r="B8" s="83">
        <f>(B5*(B6)^3)/12</f>
        <v>12800000000</v>
      </c>
      <c r="C8" s="83" t="s">
        <v>128</v>
      </c>
      <c r="D8" s="83">
        <f>((3+4.3+5)/3)*1000</f>
        <v>4100.0000000000009</v>
      </c>
      <c r="E8" s="83" t="s">
        <v>129</v>
      </c>
      <c r="F8" s="83">
        <f>(F5*(F6^3))/12</f>
        <v>8575000000</v>
      </c>
      <c r="G8" s="83" t="s">
        <v>130</v>
      </c>
      <c r="H8" s="83">
        <f>D8</f>
        <v>4100.0000000000009</v>
      </c>
      <c r="I8" s="83" t="s">
        <v>129</v>
      </c>
      <c r="J8" s="83">
        <f>(J5*(J6^3))/12</f>
        <v>8575000000</v>
      </c>
      <c r="K8" s="83" t="s">
        <v>130</v>
      </c>
      <c r="L8" s="83">
        <f>H8</f>
        <v>4100.0000000000009</v>
      </c>
      <c r="M8" s="181" t="s">
        <v>129</v>
      </c>
      <c r="N8" s="181">
        <f>(N5*(N6^3))/12</f>
        <v>5400000000</v>
      </c>
      <c r="O8" s="181" t="s">
        <v>130</v>
      </c>
      <c r="P8" s="181">
        <f>L8</f>
        <v>4100.0000000000009</v>
      </c>
      <c r="Q8" s="181" t="s">
        <v>129</v>
      </c>
      <c r="R8" s="181">
        <f>(R5*(R6^3))/12</f>
        <v>5400000000</v>
      </c>
      <c r="S8" s="181" t="s">
        <v>130</v>
      </c>
      <c r="T8" s="181">
        <f>P8</f>
        <v>4100.0000000000009</v>
      </c>
    </row>
    <row r="9" spans="1:20" x14ac:dyDescent="0.25">
      <c r="A9" s="83" t="s">
        <v>131</v>
      </c>
      <c r="B9" s="83">
        <v>31475.81</v>
      </c>
      <c r="C9" s="83" t="s">
        <v>132</v>
      </c>
      <c r="D9" s="83">
        <f>B8</f>
        <v>12800000000</v>
      </c>
      <c r="E9" s="83" t="s">
        <v>133</v>
      </c>
      <c r="F9" s="83">
        <f>D10</f>
        <v>31475.81</v>
      </c>
      <c r="G9" s="83" t="s">
        <v>132</v>
      </c>
      <c r="H9" s="83">
        <f>F8</f>
        <v>8575000000</v>
      </c>
      <c r="I9" s="83" t="s">
        <v>133</v>
      </c>
      <c r="J9" s="83">
        <f>H10</f>
        <v>31475.81</v>
      </c>
      <c r="K9" s="83" t="s">
        <v>132</v>
      </c>
      <c r="L9" s="83">
        <f>J8</f>
        <v>8575000000</v>
      </c>
      <c r="M9" s="181" t="s">
        <v>133</v>
      </c>
      <c r="N9" s="181">
        <f>L10</f>
        <v>31475.81</v>
      </c>
      <c r="O9" s="181" t="s">
        <v>132</v>
      </c>
      <c r="P9" s="181">
        <f>N8</f>
        <v>5400000000</v>
      </c>
      <c r="Q9" s="181" t="s">
        <v>133</v>
      </c>
      <c r="R9" s="181">
        <f>P10</f>
        <v>31475.81</v>
      </c>
      <c r="S9" s="181" t="s">
        <v>132</v>
      </c>
      <c r="T9" s="181">
        <f>R8</f>
        <v>5400000000</v>
      </c>
    </row>
    <row r="10" spans="1:20" x14ac:dyDescent="0.25">
      <c r="C10" s="83" t="s">
        <v>133</v>
      </c>
      <c r="D10" s="83">
        <f>B9</f>
        <v>31475.81</v>
      </c>
      <c r="G10" s="83" t="s">
        <v>133</v>
      </c>
      <c r="H10" s="82">
        <f>F9</f>
        <v>31475.81</v>
      </c>
      <c r="K10" s="83" t="s">
        <v>133</v>
      </c>
      <c r="L10" s="82">
        <f>J9</f>
        <v>31475.81</v>
      </c>
      <c r="O10" s="181" t="s">
        <v>133</v>
      </c>
      <c r="P10" s="180">
        <f>N9</f>
        <v>31475.81</v>
      </c>
      <c r="S10" s="181" t="s">
        <v>133</v>
      </c>
      <c r="T10" s="180">
        <f>R9</f>
        <v>31475.81</v>
      </c>
    </row>
    <row r="13" spans="1:20" ht="18" x14ac:dyDescent="0.25">
      <c r="A13" t="s">
        <v>0</v>
      </c>
      <c r="B13" t="s">
        <v>134</v>
      </c>
      <c r="C13" s="83" t="s">
        <v>135</v>
      </c>
      <c r="D13" t="s">
        <v>136</v>
      </c>
      <c r="E13" s="83" t="s">
        <v>137</v>
      </c>
      <c r="F13" s="83" t="s">
        <v>138</v>
      </c>
      <c r="G13" s="83" t="s">
        <v>145</v>
      </c>
      <c r="H13" s="85" t="s">
        <v>139</v>
      </c>
    </row>
    <row r="14" spans="1:20" x14ac:dyDescent="0.25">
      <c r="A14" s="83" t="s">
        <v>140</v>
      </c>
      <c r="B14" s="83">
        <v>16</v>
      </c>
      <c r="C14" s="83">
        <v>11</v>
      </c>
      <c r="D14" s="23">
        <f>(((R8*$B$14)/(R7^3))*$R$9)*12</f>
        <v>908092.48985725013</v>
      </c>
      <c r="E14" s="84">
        <f>(R8/R7)*B14</f>
        <v>26181818.181818184</v>
      </c>
      <c r="F14" s="83">
        <f>(T9/T7)*C14</f>
        <v>16851063.829787236</v>
      </c>
      <c r="G14" s="83">
        <f>(T9/T7)*C14</f>
        <v>16851063.829787236</v>
      </c>
      <c r="H14" s="23">
        <f>D14*(1/(1+0.5*((E14/F14)+(E14/G14))))/1000</f>
        <v>355.59608826125327</v>
      </c>
    </row>
    <row r="15" spans="1:20" x14ac:dyDescent="0.25">
      <c r="A15" s="83">
        <v>5</v>
      </c>
      <c r="B15" s="83">
        <v>16</v>
      </c>
      <c r="C15" s="83">
        <v>11</v>
      </c>
      <c r="D15" s="23">
        <f>((($N$8*$B$14)/($N$7^3))*$N$9)*12</f>
        <v>908092.48985725013</v>
      </c>
      <c r="E15" s="84">
        <f>(N8/N7)*B15</f>
        <v>26181818.181818184</v>
      </c>
      <c r="F15" s="83">
        <f>(P9/P7)*C15</f>
        <v>16851063.829787236</v>
      </c>
      <c r="G15" s="83">
        <f>(P9/P7)*C14</f>
        <v>16851063.829787236</v>
      </c>
      <c r="H15" s="23">
        <f t="shared" ref="H15:H18" si="0">D15*(1/(1+0.5*((E15/F15)+(E15/G15))))/1000</f>
        <v>355.59608826125327</v>
      </c>
    </row>
    <row r="16" spans="1:20" x14ac:dyDescent="0.25">
      <c r="A16" s="83">
        <v>4</v>
      </c>
      <c r="B16" s="83">
        <v>16</v>
      </c>
      <c r="C16" s="83">
        <v>11</v>
      </c>
      <c r="D16" s="23">
        <f>((($F$8*$B$14)/($F$7^3))*$J$9)*12</f>
        <v>1442017.2408381335</v>
      </c>
      <c r="E16" s="84">
        <f>(J8/J7)*B15</f>
        <v>41575757.575757578</v>
      </c>
      <c r="F16" s="83">
        <f>(L9/L7)*C15</f>
        <v>26758865.248226952</v>
      </c>
      <c r="G16" s="83">
        <f>(L9/L7)*C14</f>
        <v>26758865.248226952</v>
      </c>
      <c r="H16" s="23">
        <f>D16*(1/(1+0.5*((E16/F16)+(E16/G16))))/1000</f>
        <v>564.67341793337903</v>
      </c>
    </row>
    <row r="17" spans="1:11" x14ac:dyDescent="0.25">
      <c r="A17" s="83">
        <v>3</v>
      </c>
      <c r="B17" s="83">
        <v>16</v>
      </c>
      <c r="C17" s="83">
        <v>11</v>
      </c>
      <c r="D17" s="23">
        <f>((($F$8*$B$14)/($F$7^3))*$F$9)*12</f>
        <v>1442017.2408381335</v>
      </c>
      <c r="E17" s="84">
        <f>(F8/F7)*B15</f>
        <v>41575757.575757578</v>
      </c>
      <c r="F17" s="83">
        <f>(H9/H7)*C15</f>
        <v>26758865.248226952</v>
      </c>
      <c r="G17" s="83">
        <f>(H9/H7)*C17</f>
        <v>26758865.248226952</v>
      </c>
      <c r="H17" s="23">
        <f t="shared" si="0"/>
        <v>564.67341793337903</v>
      </c>
    </row>
    <row r="18" spans="1:11" x14ac:dyDescent="0.25">
      <c r="A18" s="83">
        <v>2</v>
      </c>
      <c r="B18" s="83">
        <v>16</v>
      </c>
      <c r="C18" s="83">
        <v>11</v>
      </c>
      <c r="D18" s="23">
        <f>((($B$8*$B$18)/($B$7^3))*$B$9)*12</f>
        <v>1657985.0534979426</v>
      </c>
      <c r="E18" s="84">
        <f>(B8/B7)*B18</f>
        <v>56888888.888888888</v>
      </c>
      <c r="F18" s="83">
        <f>(D9/D7)*C18</f>
        <v>39943262.411347516</v>
      </c>
      <c r="G18" s="83">
        <f>(D9/D7)*C14</f>
        <v>39943262.411347516</v>
      </c>
      <c r="H18" s="23">
        <f t="shared" si="0"/>
        <v>683.91883456790129</v>
      </c>
    </row>
    <row r="19" spans="1:11" x14ac:dyDescent="0.25">
      <c r="A19" s="83">
        <v>1</v>
      </c>
      <c r="B19" s="83">
        <v>16</v>
      </c>
      <c r="C19" s="83">
        <v>11</v>
      </c>
      <c r="D19" s="23">
        <f>((($B$8*$B$18)/($B$7^3))*$B$9)*12</f>
        <v>1657985.0534979426</v>
      </c>
      <c r="E19" s="84">
        <f>E18</f>
        <v>56888888.888888888</v>
      </c>
      <c r="F19" s="83">
        <f>F18</f>
        <v>39943262.411347516</v>
      </c>
      <c r="G19" s="83" t="s">
        <v>144</v>
      </c>
      <c r="H19" s="23">
        <f>D19*(1/(1+0.5*((E19/F19))))/1000</f>
        <v>968.38065071561255</v>
      </c>
    </row>
    <row r="22" spans="1:11" ht="18" x14ac:dyDescent="0.25">
      <c r="A22" t="s">
        <v>0</v>
      </c>
      <c r="B22" t="s">
        <v>141</v>
      </c>
      <c r="C22" s="83" t="s">
        <v>142</v>
      </c>
      <c r="D22" t="s">
        <v>136</v>
      </c>
      <c r="E22" s="83" t="s">
        <v>137</v>
      </c>
      <c r="F22" s="83" t="s">
        <v>138</v>
      </c>
      <c r="G22" s="83" t="s">
        <v>146</v>
      </c>
      <c r="H22" s="85" t="s">
        <v>143</v>
      </c>
    </row>
    <row r="23" spans="1:11" x14ac:dyDescent="0.25">
      <c r="A23" s="83" t="s">
        <v>140</v>
      </c>
      <c r="B23" s="83">
        <v>14</v>
      </c>
      <c r="C23" s="83">
        <v>16</v>
      </c>
      <c r="D23" s="83">
        <f>(((R8*$B$23)/(R7^3))*$R$9)*12</f>
        <v>794580.92862509401</v>
      </c>
      <c r="E23" s="83">
        <f>(R8/R7)*B24</f>
        <v>22909090.90909091</v>
      </c>
      <c r="F23" s="83">
        <f>(L9/L7)*C23</f>
        <v>38921985.815602839</v>
      </c>
      <c r="G23" s="83">
        <f>(T9/T7)*C25</f>
        <v>24510638.297872342</v>
      </c>
      <c r="H23" s="23">
        <f>D23*(1/(1+0.5*((E23/F23)+(E23/G23))))/1000</f>
        <v>451.05010307642459</v>
      </c>
    </row>
    <row r="24" spans="1:11" x14ac:dyDescent="0.25">
      <c r="A24" s="83">
        <v>5</v>
      </c>
      <c r="B24" s="83">
        <v>14</v>
      </c>
      <c r="C24" s="83">
        <v>16</v>
      </c>
      <c r="D24" s="83">
        <f>((($N$8*$B$25)/($N$7^3))*$N$9)*12</f>
        <v>794580.92862509401</v>
      </c>
      <c r="E24" s="83">
        <f>(N8/N7)*B25</f>
        <v>22909090.90909091</v>
      </c>
      <c r="F24" s="83">
        <f>(P9/P7)*C25</f>
        <v>24510638.297872342</v>
      </c>
      <c r="G24" s="83">
        <f>(P9/P7)*C25</f>
        <v>24510638.297872342</v>
      </c>
      <c r="H24" s="23">
        <f t="shared" ref="H24:H27" si="1">D24*(1/(1+0.5*((E24/F24)+(E24/G24))))/1000</f>
        <v>410.70849761532025</v>
      </c>
    </row>
    <row r="25" spans="1:11" x14ac:dyDescent="0.25">
      <c r="A25" s="83">
        <v>4</v>
      </c>
      <c r="B25" s="83">
        <v>14</v>
      </c>
      <c r="C25" s="83">
        <v>16</v>
      </c>
      <c r="D25" s="83">
        <f>((($J$8*$B$25)/($J$7^3))*$J$9)*12</f>
        <v>1261765.0857333669</v>
      </c>
      <c r="E25" s="83">
        <f>(J8/J7)*B25</f>
        <v>36378787.878787883</v>
      </c>
      <c r="F25" s="83">
        <f>(L9/L7)*C25</f>
        <v>38921985.815602839</v>
      </c>
      <c r="G25" s="83">
        <f>(L9/L7)*C25</f>
        <v>38921985.815602839</v>
      </c>
      <c r="H25" s="23">
        <f t="shared" si="1"/>
        <v>652.18988278729091</v>
      </c>
    </row>
    <row r="26" spans="1:11" x14ac:dyDescent="0.25">
      <c r="A26" s="83">
        <v>3</v>
      </c>
      <c r="B26" s="83">
        <v>14</v>
      </c>
      <c r="C26" s="83">
        <v>16</v>
      </c>
      <c r="D26" s="83">
        <f>((($F$8*$B$25)/($F$7^3))*$F$9)*12</f>
        <v>1261765.0857333669</v>
      </c>
      <c r="E26" s="83">
        <f>(F8/F7)*B25</f>
        <v>36378787.878787883</v>
      </c>
      <c r="F26" s="83">
        <f>(H9/H7)*C25</f>
        <v>38921985.815602839</v>
      </c>
      <c r="G26" s="83">
        <f>(H9/H7)*C26</f>
        <v>38921985.815602839</v>
      </c>
      <c r="H26" s="23">
        <f t="shared" si="1"/>
        <v>652.18988278729091</v>
      </c>
    </row>
    <row r="27" spans="1:11" x14ac:dyDescent="0.25">
      <c r="A27" s="83">
        <v>2</v>
      </c>
      <c r="B27" s="83">
        <v>14</v>
      </c>
      <c r="C27" s="83">
        <v>16</v>
      </c>
      <c r="D27" s="83">
        <f>((($B$8*$B$27)/($B$7^3))*$B$9)*12</f>
        <v>1450736.9218106996</v>
      </c>
      <c r="E27" s="83">
        <f>(B8/B7)*B26</f>
        <v>49777777.777777776</v>
      </c>
      <c r="F27" s="83">
        <f>(D9/D7)*C26</f>
        <v>58099290.780141845</v>
      </c>
      <c r="G27" s="83">
        <f>(D9/D7)*C25</f>
        <v>58099290.780141845</v>
      </c>
      <c r="H27" s="23">
        <f t="shared" si="1"/>
        <v>781.32254975499109</v>
      </c>
    </row>
    <row r="28" spans="1:11" x14ac:dyDescent="0.25">
      <c r="A28" s="83">
        <v>1</v>
      </c>
      <c r="B28" s="83">
        <v>14</v>
      </c>
      <c r="C28" s="83">
        <v>16</v>
      </c>
      <c r="D28" s="83">
        <f>((($B$8*$B$25)/($B$7^3))*$B$9)*12</f>
        <v>1450736.9218106996</v>
      </c>
      <c r="E28" s="83">
        <f>E27</f>
        <v>49777777.777777776</v>
      </c>
      <c r="F28" s="83">
        <f>F27</f>
        <v>58099290.780141845</v>
      </c>
      <c r="G28" s="83" t="s">
        <v>144</v>
      </c>
      <c r="H28" s="23">
        <f>D28*(1/(1+0.5*((E28/F28))))/1000</f>
        <v>1015.6480911126868</v>
      </c>
    </row>
    <row r="30" spans="1:11" ht="15.75" thickBot="1" x14ac:dyDescent="0.3"/>
    <row r="31" spans="1:11" ht="34.5" x14ac:dyDescent="0.25">
      <c r="A31" s="265" t="s">
        <v>9</v>
      </c>
      <c r="B31" s="266"/>
      <c r="C31" s="88" t="s">
        <v>31</v>
      </c>
      <c r="D31" s="53" t="s">
        <v>32</v>
      </c>
      <c r="E31" s="53" t="s">
        <v>105</v>
      </c>
      <c r="F31" s="53" t="s">
        <v>106</v>
      </c>
      <c r="G31" s="53" t="s">
        <v>107</v>
      </c>
      <c r="H31" s="53" t="s">
        <v>108</v>
      </c>
      <c r="I31" s="53" t="s">
        <v>110</v>
      </c>
      <c r="J31" s="53" t="s">
        <v>109</v>
      </c>
      <c r="K31" s="89" t="s">
        <v>112</v>
      </c>
    </row>
    <row r="32" spans="1:11" x14ac:dyDescent="0.25">
      <c r="A32" s="213" t="s">
        <v>47</v>
      </c>
      <c r="B32" s="214"/>
      <c r="C32" s="27">
        <f>'Rigidezze per tipo e Periodo'!C2</f>
        <v>662.88955608646222</v>
      </c>
      <c r="D32" s="27">
        <f>'Rigidezze per tipo e Periodo'!D2</f>
        <v>662.88955608646222</v>
      </c>
      <c r="E32" s="27">
        <f>H14</f>
        <v>355.59608826125327</v>
      </c>
      <c r="F32" s="27">
        <f>D32/E32</f>
        <v>1.8641643650462296</v>
      </c>
      <c r="G32" s="27">
        <f t="shared" ref="G32:G35" si="2">G33+F32</f>
        <v>15.311160038971119</v>
      </c>
      <c r="H32" s="27">
        <f>'Rigidezze per tipo e Periodo'!H2</f>
        <v>485.74923547400618</v>
      </c>
      <c r="I32" s="27">
        <f>C32*G32</f>
        <v>10149.608081402344</v>
      </c>
      <c r="J32" s="27">
        <f>(H32*(G32)^2)/1000</f>
        <v>113.87498103064391</v>
      </c>
      <c r="K32" s="267">
        <f>(2*PI())*(SQRT(J38/I38))</f>
        <v>0.67333316736368132</v>
      </c>
    </row>
    <row r="33" spans="1:11" x14ac:dyDescent="0.25">
      <c r="A33" s="213">
        <v>5</v>
      </c>
      <c r="B33" s="214"/>
      <c r="C33" s="27">
        <f>'Rigidezze per tipo e Periodo'!C3</f>
        <v>433.51274903299213</v>
      </c>
      <c r="D33" s="27">
        <f>'Rigidezze per tipo e Periodo'!D3</f>
        <v>1096.4023051194545</v>
      </c>
      <c r="E33" s="27">
        <f t="shared" ref="E33:E37" si="3">H15</f>
        <v>355.59608826125327</v>
      </c>
      <c r="F33" s="27">
        <f t="shared" ref="F33:F37" si="4">D33/E33</f>
        <v>3.0832799946717566</v>
      </c>
      <c r="G33" s="27">
        <f t="shared" si="2"/>
        <v>13.446995673924889</v>
      </c>
      <c r="H33" s="27">
        <f>'Rigidezze per tipo e Periodo'!H3</f>
        <v>389.5208970438328</v>
      </c>
      <c r="I33" s="27">
        <f t="shared" ref="I33:I37" si="5">C33*G33</f>
        <v>5829.4440608379309</v>
      </c>
      <c r="J33" s="27">
        <f t="shared" ref="J33:J37" si="6">(H33*(G33)^2)/1000</f>
        <v>70.433827927786382</v>
      </c>
      <c r="K33" s="267"/>
    </row>
    <row r="34" spans="1:11" x14ac:dyDescent="0.25">
      <c r="A34" s="213">
        <v>4</v>
      </c>
      <c r="B34" s="214"/>
      <c r="C34" s="27">
        <f>'Rigidezze per tipo e Periodo'!C4</f>
        <v>348.35845904436871</v>
      </c>
      <c r="D34" s="27">
        <f>'Rigidezze per tipo e Periodo'!D4</f>
        <v>1444.7607641638233</v>
      </c>
      <c r="E34" s="27">
        <f t="shared" si="3"/>
        <v>564.67341793337903</v>
      </c>
      <c r="F34" s="27">
        <f t="shared" si="4"/>
        <v>2.558577610136906</v>
      </c>
      <c r="G34" s="27">
        <f t="shared" si="2"/>
        <v>10.363715679253133</v>
      </c>
      <c r="H34" s="27">
        <f>'Rigidezze per tipo e Periodo'!H4</f>
        <v>389.5208970438328</v>
      </c>
      <c r="I34" s="27">
        <f t="shared" si="5"/>
        <v>3610.2880239985843</v>
      </c>
      <c r="J34" s="27">
        <f t="shared" si="6"/>
        <v>41.837116224498864</v>
      </c>
      <c r="K34" s="267"/>
    </row>
    <row r="35" spans="1:11" x14ac:dyDescent="0.25">
      <c r="A35" s="213">
        <v>3</v>
      </c>
      <c r="B35" s="214"/>
      <c r="C35" s="27">
        <f>'Rigidezze per tipo e Periodo'!C5</f>
        <v>263.20416905574524</v>
      </c>
      <c r="D35" s="27">
        <f>'Rigidezze per tipo e Periodo'!D5</f>
        <v>1707.9649332195686</v>
      </c>
      <c r="E35" s="27">
        <f t="shared" si="3"/>
        <v>564.67341793337903</v>
      </c>
      <c r="F35" s="27">
        <f t="shared" si="4"/>
        <v>3.024695122838378</v>
      </c>
      <c r="G35" s="27">
        <f t="shared" si="2"/>
        <v>7.8051380691162278</v>
      </c>
      <c r="H35" s="27">
        <f>'Rigidezze per tipo e Periodo'!H5</f>
        <v>389.5208970438328</v>
      </c>
      <c r="I35" s="27">
        <f t="shared" si="5"/>
        <v>2054.3448798471004</v>
      </c>
      <c r="J35" s="27">
        <f t="shared" si="6"/>
        <v>23.729683269945873</v>
      </c>
      <c r="K35" s="267"/>
    </row>
    <row r="36" spans="1:11" x14ac:dyDescent="0.25">
      <c r="A36" s="213">
        <v>2</v>
      </c>
      <c r="B36" s="214"/>
      <c r="C36" s="27">
        <f>'Rigidezze per tipo e Periodo'!C6</f>
        <v>178.04987906712176</v>
      </c>
      <c r="D36" s="27">
        <f>'Rigidezze per tipo e Periodo'!D6</f>
        <v>1886.0148122866904</v>
      </c>
      <c r="E36" s="27">
        <f t="shared" si="3"/>
        <v>683.91883456790129</v>
      </c>
      <c r="F36" s="27">
        <f t="shared" si="4"/>
        <v>2.7576588287384589</v>
      </c>
      <c r="G36" s="27">
        <f>G37+F36</f>
        <v>4.7804429462778497</v>
      </c>
      <c r="H36" s="27">
        <f>'Rigidezze per tipo e Periodo'!H6</f>
        <v>389.5208970438328</v>
      </c>
      <c r="I36" s="27">
        <f t="shared" si="5"/>
        <v>851.15728847204639</v>
      </c>
      <c r="J36" s="27">
        <f t="shared" si="6"/>
        <v>8.9015787925499019</v>
      </c>
      <c r="K36" s="267"/>
    </row>
    <row r="37" spans="1:11" ht="15.75" thickBot="1" x14ac:dyDescent="0.3">
      <c r="A37" s="213">
        <v>1</v>
      </c>
      <c r="B37" s="214"/>
      <c r="C37" s="27">
        <f>'Rigidezze per tipo e Periodo'!C7</f>
        <v>72.810187713310597</v>
      </c>
      <c r="D37" s="27">
        <f>'Rigidezze per tipo e Periodo'!D7</f>
        <v>1958.825000000001</v>
      </c>
      <c r="E37" s="27">
        <f t="shared" si="3"/>
        <v>968.38065071561255</v>
      </c>
      <c r="F37" s="27">
        <f t="shared" si="4"/>
        <v>2.0227841175393904</v>
      </c>
      <c r="G37" s="27">
        <f>F37</f>
        <v>2.0227841175393904</v>
      </c>
      <c r="H37" s="27">
        <f>'Rigidezze per tipo e Periodo'!H7</f>
        <v>305.30071355759429</v>
      </c>
      <c r="I37" s="27">
        <f t="shared" si="5"/>
        <v>147.27929130154635</v>
      </c>
      <c r="J37" s="27">
        <f t="shared" si="6"/>
        <v>1.2491853700894988</v>
      </c>
      <c r="K37" s="267"/>
    </row>
    <row r="38" spans="1:11" ht="15.75" thickBot="1" x14ac:dyDescent="0.3">
      <c r="A38" s="270" t="s">
        <v>111</v>
      </c>
      <c r="B38" s="271"/>
      <c r="C38" s="13"/>
      <c r="D38" s="13"/>
      <c r="E38" s="13"/>
      <c r="F38" s="27"/>
      <c r="G38" s="13"/>
      <c r="H38" s="13"/>
      <c r="I38" s="79">
        <f>SUM(I32:I37)</f>
        <v>22642.121625859552</v>
      </c>
      <c r="J38" s="80">
        <f>SUM(J32:J37)</f>
        <v>260.02637261551439</v>
      </c>
      <c r="K38" s="90"/>
    </row>
    <row r="39" spans="1:11" x14ac:dyDescent="0.25">
      <c r="A39" s="14"/>
      <c r="B39" s="13"/>
      <c r="C39" s="13"/>
      <c r="D39" s="13"/>
      <c r="E39" s="13"/>
      <c r="F39" s="13"/>
      <c r="G39" s="13"/>
      <c r="H39" s="13"/>
      <c r="I39" s="13"/>
      <c r="J39" s="272"/>
      <c r="K39" s="273"/>
    </row>
    <row r="40" spans="1:11" x14ac:dyDescent="0.25">
      <c r="A40" s="14"/>
      <c r="B40" s="13"/>
      <c r="C40" s="13"/>
      <c r="D40" s="13"/>
      <c r="E40" s="13"/>
      <c r="F40" s="13"/>
      <c r="G40" s="13"/>
      <c r="H40" s="13"/>
      <c r="I40" s="13"/>
      <c r="J40" s="214"/>
      <c r="K40" s="273"/>
    </row>
    <row r="41" spans="1:11" x14ac:dyDescent="0.25">
      <c r="A41" s="14"/>
      <c r="B41" s="13"/>
      <c r="C41" s="13"/>
      <c r="D41" s="13"/>
      <c r="E41" s="13"/>
      <c r="F41" s="13"/>
      <c r="G41" s="13"/>
      <c r="H41" s="13"/>
      <c r="I41" s="13"/>
      <c r="J41" s="13"/>
      <c r="K41" s="90"/>
    </row>
    <row r="42" spans="1:11" ht="34.5" x14ac:dyDescent="0.25">
      <c r="A42" s="274" t="s">
        <v>9</v>
      </c>
      <c r="B42" s="275"/>
      <c r="C42" s="91" t="s">
        <v>31</v>
      </c>
      <c r="D42" s="87" t="s">
        <v>32</v>
      </c>
      <c r="E42" s="87" t="s">
        <v>113</v>
      </c>
      <c r="F42" s="87" t="s">
        <v>106</v>
      </c>
      <c r="G42" s="87" t="s">
        <v>107</v>
      </c>
      <c r="H42" s="87" t="s">
        <v>108</v>
      </c>
      <c r="I42" s="87" t="s">
        <v>110</v>
      </c>
      <c r="J42" s="87" t="s">
        <v>109</v>
      </c>
      <c r="K42" s="92" t="s">
        <v>114</v>
      </c>
    </row>
    <row r="43" spans="1:11" x14ac:dyDescent="0.25">
      <c r="A43" s="213" t="s">
        <v>47</v>
      </c>
      <c r="B43" s="214"/>
      <c r="C43" s="27">
        <f>'Rigidezze per tipo e Periodo'!C13</f>
        <v>662.88955608646222</v>
      </c>
      <c r="D43" s="27">
        <f>'Rigidezze per tipo e Periodo'!D13</f>
        <v>662.88955608646222</v>
      </c>
      <c r="E43" s="27">
        <f>H23</f>
        <v>451.05010307642459</v>
      </c>
      <c r="F43" s="27">
        <f>D43/E43</f>
        <v>1.4696583629294597</v>
      </c>
      <c r="G43" s="27">
        <f t="shared" ref="G43:G46" si="7">G44+F43</f>
        <v>13.315778459799088</v>
      </c>
      <c r="H43" s="27">
        <f>'Rigidezze per tipo e Periodo'!H13</f>
        <v>485.74923547400618</v>
      </c>
      <c r="I43" s="27">
        <f>C43*G43</f>
        <v>8826.8904721618928</v>
      </c>
      <c r="J43" s="27">
        <f>(H43*(G43^2))/1000</f>
        <v>86.128175564290459</v>
      </c>
      <c r="K43" s="267">
        <f>(2*PI())*(SQRT(J49/I49))</f>
        <v>0.63130886663594898</v>
      </c>
    </row>
    <row r="44" spans="1:11" x14ac:dyDescent="0.25">
      <c r="A44" s="213">
        <v>5</v>
      </c>
      <c r="B44" s="214"/>
      <c r="C44" s="27">
        <f>'Rigidezze per tipo e Periodo'!C14</f>
        <v>433.51274903299213</v>
      </c>
      <c r="D44" s="27">
        <f>'Rigidezze per tipo e Periodo'!D14</f>
        <v>1096.4023051194545</v>
      </c>
      <c r="E44" s="27">
        <f t="shared" ref="E44:E48" si="8">H24</f>
        <v>410.70849761532025</v>
      </c>
      <c r="F44" s="27">
        <f t="shared" ref="F44:F48" si="9">D44/E44</f>
        <v>2.6695388858167042</v>
      </c>
      <c r="G44" s="27">
        <f t="shared" si="7"/>
        <v>11.846120096869628</v>
      </c>
      <c r="H44" s="27">
        <f>'Rigidezze per tipo e Periodo'!H14</f>
        <v>389.5208970438328</v>
      </c>
      <c r="I44" s="27">
        <f t="shared" ref="I44:I48" si="10">C44*G44</f>
        <v>5135.4440885689273</v>
      </c>
      <c r="J44" s="27">
        <f t="shared" ref="J44:J48" si="11">(H44*(G44^2))/1000</f>
        <v>54.661686139505683</v>
      </c>
      <c r="K44" s="267"/>
    </row>
    <row r="45" spans="1:11" x14ac:dyDescent="0.25">
      <c r="A45" s="213">
        <v>4</v>
      </c>
      <c r="B45" s="214"/>
      <c r="C45" s="27">
        <f>'Rigidezze per tipo e Periodo'!C15</f>
        <v>348.35845904436871</v>
      </c>
      <c r="D45" s="27">
        <f>'Rigidezze per tipo e Periodo'!D15</f>
        <v>1444.7607641638233</v>
      </c>
      <c r="E45" s="27">
        <f t="shared" si="8"/>
        <v>652.18988278729091</v>
      </c>
      <c r="F45" s="27">
        <f t="shared" si="9"/>
        <v>2.2152455937974525</v>
      </c>
      <c r="G45" s="27">
        <f t="shared" si="7"/>
        <v>9.1765812110529232</v>
      </c>
      <c r="H45" s="27">
        <f>'Rigidezze per tipo e Periodo'!H15</f>
        <v>389.5208970438328</v>
      </c>
      <c r="I45" s="27">
        <f t="shared" si="10"/>
        <v>3196.7396899779033</v>
      </c>
      <c r="J45" s="27">
        <f t="shared" si="11"/>
        <v>32.801415573222926</v>
      </c>
      <c r="K45" s="267"/>
    </row>
    <row r="46" spans="1:11" x14ac:dyDescent="0.25">
      <c r="A46" s="213">
        <v>3</v>
      </c>
      <c r="B46" s="214"/>
      <c r="C46" s="27">
        <f>'Rigidezze per tipo e Periodo'!C16</f>
        <v>263.20416905574524</v>
      </c>
      <c r="D46" s="27">
        <f>'Rigidezze per tipo e Periodo'!D16</f>
        <v>1707.9649332195686</v>
      </c>
      <c r="E46" s="27">
        <f t="shared" si="8"/>
        <v>652.18988278729091</v>
      </c>
      <c r="F46" s="27">
        <f t="shared" si="9"/>
        <v>2.6188154374921733</v>
      </c>
      <c r="G46" s="27">
        <f t="shared" si="7"/>
        <v>6.9613356172554717</v>
      </c>
      <c r="H46" s="27">
        <f>'Rigidezze per tipo e Periodo'!H16</f>
        <v>389.5208970438328</v>
      </c>
      <c r="I46" s="27">
        <f t="shared" si="10"/>
        <v>1832.2525566578897</v>
      </c>
      <c r="J46" s="27">
        <f t="shared" si="11"/>
        <v>18.876258072668421</v>
      </c>
      <c r="K46" s="267"/>
    </row>
    <row r="47" spans="1:11" x14ac:dyDescent="0.25">
      <c r="A47" s="213">
        <v>2</v>
      </c>
      <c r="B47" s="214"/>
      <c r="C47" s="27">
        <f>'Rigidezze per tipo e Periodo'!C17</f>
        <v>178.04987906712176</v>
      </c>
      <c r="D47" s="27">
        <f>'Rigidezze per tipo e Periodo'!D17</f>
        <v>1886.0148122866904</v>
      </c>
      <c r="E47" s="27">
        <f t="shared" si="8"/>
        <v>781.32254975499109</v>
      </c>
      <c r="F47" s="27">
        <f t="shared" si="9"/>
        <v>2.4138747984147022</v>
      </c>
      <c r="G47" s="27">
        <f>G48+F47</f>
        <v>4.342520179763298</v>
      </c>
      <c r="H47" s="27">
        <f>'Rigidezze per tipo e Periodo'!H17</f>
        <v>389.5208970438328</v>
      </c>
      <c r="I47" s="27">
        <f t="shared" si="10"/>
        <v>773.18519285339107</v>
      </c>
      <c r="J47" s="27">
        <f t="shared" si="11"/>
        <v>7.34538311440597</v>
      </c>
      <c r="K47" s="267"/>
    </row>
    <row r="48" spans="1:11" ht="15.75" thickBot="1" x14ac:dyDescent="0.3">
      <c r="A48" s="213">
        <v>1</v>
      </c>
      <c r="B48" s="214"/>
      <c r="C48" s="27">
        <f>'Rigidezze per tipo e Periodo'!C18</f>
        <v>72.810187713310597</v>
      </c>
      <c r="D48" s="27">
        <f>'Rigidezze per tipo e Periodo'!D18</f>
        <v>1958.825000000001</v>
      </c>
      <c r="E48" s="27">
        <f t="shared" si="8"/>
        <v>1015.6480911126868</v>
      </c>
      <c r="F48" s="27">
        <f t="shared" si="9"/>
        <v>1.9286453813485955</v>
      </c>
      <c r="G48" s="27">
        <f>F48</f>
        <v>1.9286453813485955</v>
      </c>
      <c r="H48" s="27">
        <f>'Rigidezze per tipo e Periodo'!H18</f>
        <v>305.30071355759429</v>
      </c>
      <c r="I48" s="27">
        <f t="shared" si="10"/>
        <v>140.42503224840075</v>
      </c>
      <c r="J48" s="27">
        <f t="shared" si="11"/>
        <v>1.1356188232371889</v>
      </c>
      <c r="K48" s="267"/>
    </row>
    <row r="49" spans="1:11" ht="15.75" thickBot="1" x14ac:dyDescent="0.3">
      <c r="A49" s="268" t="s">
        <v>111</v>
      </c>
      <c r="B49" s="269"/>
      <c r="C49" s="57"/>
      <c r="D49" s="57"/>
      <c r="E49" s="57"/>
      <c r="F49" s="57"/>
      <c r="G49" s="57"/>
      <c r="H49" s="57"/>
      <c r="I49" s="79">
        <f>SUM(I43:I48)</f>
        <v>19904.937032468402</v>
      </c>
      <c r="J49" s="80">
        <f>SUM(J43:J48)</f>
        <v>200.94853728733062</v>
      </c>
      <c r="K49" s="93"/>
    </row>
  </sheetData>
  <mergeCells count="25">
    <mergeCell ref="M1:P1"/>
    <mergeCell ref="Q1:T1"/>
    <mergeCell ref="A49:B49"/>
    <mergeCell ref="A38:B38"/>
    <mergeCell ref="J39:K39"/>
    <mergeCell ref="J40:K40"/>
    <mergeCell ref="A42:B42"/>
    <mergeCell ref="A43:B43"/>
    <mergeCell ref="K43:K48"/>
    <mergeCell ref="A44:B44"/>
    <mergeCell ref="A45:B45"/>
    <mergeCell ref="A46:B46"/>
    <mergeCell ref="A47:B47"/>
    <mergeCell ref="A48:B48"/>
    <mergeCell ref="A1:D1"/>
    <mergeCell ref="E1:H1"/>
    <mergeCell ref="I1:L1"/>
    <mergeCell ref="A31:B31"/>
    <mergeCell ref="A32:B32"/>
    <mergeCell ref="K32:K37"/>
    <mergeCell ref="A33:B33"/>
    <mergeCell ref="A34:B34"/>
    <mergeCell ref="A35:B35"/>
    <mergeCell ref="A36:B36"/>
    <mergeCell ref="A37:B37"/>
  </mergeCell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19"/>
  <sheetViews>
    <sheetView workbookViewId="0">
      <selection activeCell="O15" sqref="O15"/>
    </sheetView>
  </sheetViews>
  <sheetFormatPr defaultRowHeight="15" x14ac:dyDescent="0.25"/>
  <cols>
    <col min="1" max="1" width="9.7109375" bestFit="1" customWidth="1"/>
    <col min="3" max="3" width="10.5703125" bestFit="1" customWidth="1"/>
    <col min="4" max="4" width="17.42578125" bestFit="1" customWidth="1"/>
    <col min="5" max="5" width="9.7109375" customWidth="1"/>
    <col min="6" max="6" width="9.7109375" bestFit="1" customWidth="1"/>
    <col min="8" max="8" width="10.7109375" customWidth="1"/>
    <col min="9" max="9" width="11.28515625" customWidth="1"/>
    <col min="10" max="10" width="12.42578125" customWidth="1"/>
    <col min="11" max="11" width="15.28515625" customWidth="1"/>
  </cols>
  <sheetData>
    <row r="1" spans="1:11" ht="36" customHeight="1" x14ac:dyDescent="0.25">
      <c r="A1" s="210" t="s">
        <v>9</v>
      </c>
      <c r="B1" s="210"/>
      <c r="C1" s="75" t="s">
        <v>31</v>
      </c>
      <c r="D1" s="77" t="s">
        <v>32</v>
      </c>
      <c r="E1" s="77" t="s">
        <v>105</v>
      </c>
      <c r="F1" s="77" t="s">
        <v>106</v>
      </c>
      <c r="G1" s="77" t="s">
        <v>107</v>
      </c>
      <c r="H1" s="77" t="s">
        <v>108</v>
      </c>
      <c r="I1" s="77" t="s">
        <v>110</v>
      </c>
      <c r="J1" s="77" t="s">
        <v>109</v>
      </c>
      <c r="K1" s="81" t="s">
        <v>112</v>
      </c>
    </row>
    <row r="2" spans="1:11" x14ac:dyDescent="0.25">
      <c r="A2" s="202" t="s">
        <v>47</v>
      </c>
      <c r="B2" s="202"/>
      <c r="C2" s="23">
        <f>'caratteristiche della sollecita'!C4</f>
        <v>662.88955608646222</v>
      </c>
      <c r="D2" s="23">
        <f>'caratteristiche della sollecita'!D4</f>
        <v>662.88955608646222</v>
      </c>
      <c r="E2" s="23">
        <v>434.2</v>
      </c>
      <c r="F2" s="23">
        <f>D2/E2</f>
        <v>1.5266917459384206</v>
      </c>
      <c r="G2" s="23">
        <f>G3+F2</f>
        <v>12.022789651587962</v>
      </c>
      <c r="H2" s="23">
        <f>'Carichi unitari  Masse e forze'!I4</f>
        <v>485.74923547400618</v>
      </c>
      <c r="I2" s="23">
        <f>C2*G2</f>
        <v>7969.7816950620554</v>
      </c>
      <c r="J2" s="23">
        <f>(H2*((G2)^2))/1000</f>
        <v>70.213823531026165</v>
      </c>
      <c r="K2" s="278">
        <f>(2*PI())*(SQRT(J8/I8))</f>
        <v>0.59771093814190812</v>
      </c>
    </row>
    <row r="3" spans="1:11" x14ac:dyDescent="0.25">
      <c r="A3" s="202">
        <v>5</v>
      </c>
      <c r="B3" s="202"/>
      <c r="C3" s="23">
        <f>'caratteristiche della sollecita'!C5</f>
        <v>433.51274903299213</v>
      </c>
      <c r="D3" s="23">
        <f>'caratteristiche della sollecita'!D5</f>
        <v>1096.4023051194545</v>
      </c>
      <c r="E3" s="23">
        <v>501.2</v>
      </c>
      <c r="F3" s="23">
        <f t="shared" ref="F3:F7" si="0">D3/E3</f>
        <v>2.1875544794881376</v>
      </c>
      <c r="G3" s="23">
        <f>G4+F3</f>
        <v>10.496097905649542</v>
      </c>
      <c r="H3" s="23">
        <f>'Carichi unitari  Masse e forze'!I5</f>
        <v>389.5208970438328</v>
      </c>
      <c r="I3" s="23">
        <f t="shared" ref="I3:I6" si="1">C3*G3</f>
        <v>4550.1922571975638</v>
      </c>
      <c r="J3" s="23">
        <f t="shared" ref="J3:J6" si="2">(H3*((G3)^2))/1000</f>
        <v>42.912765936933766</v>
      </c>
      <c r="K3" s="278"/>
    </row>
    <row r="4" spans="1:11" x14ac:dyDescent="0.25">
      <c r="A4" s="202">
        <v>4</v>
      </c>
      <c r="B4" s="202"/>
      <c r="C4" s="23">
        <f>'caratteristiche della sollecita'!C6</f>
        <v>348.35845904436871</v>
      </c>
      <c r="D4" s="23">
        <f>'caratteristiche della sollecita'!D6</f>
        <v>1444.7607641638233</v>
      </c>
      <c r="E4" s="23">
        <v>667.7</v>
      </c>
      <c r="F4" s="23">
        <f t="shared" si="0"/>
        <v>2.1637872759679846</v>
      </c>
      <c r="G4" s="23">
        <f>G5+F4</f>
        <v>8.3085434261614033</v>
      </c>
      <c r="H4" s="23">
        <f>'Carichi unitari  Masse e forze'!I6</f>
        <v>389.5208970438328</v>
      </c>
      <c r="I4" s="23">
        <f t="shared" si="1"/>
        <v>2894.3513848408061</v>
      </c>
      <c r="J4" s="23">
        <f t="shared" si="2"/>
        <v>26.889365222699588</v>
      </c>
      <c r="K4" s="278"/>
    </row>
    <row r="5" spans="1:11" x14ac:dyDescent="0.25">
      <c r="A5" s="202">
        <v>3</v>
      </c>
      <c r="B5" s="202"/>
      <c r="C5" s="23">
        <f>'caratteristiche della sollecita'!C7</f>
        <v>263.20416905574524</v>
      </c>
      <c r="D5" s="23">
        <f>'caratteristiche della sollecita'!D7</f>
        <v>1707.9649332195686</v>
      </c>
      <c r="E5" s="23">
        <v>757.8</v>
      </c>
      <c r="F5" s="23">
        <f t="shared" si="0"/>
        <v>2.2538465732641444</v>
      </c>
      <c r="G5" s="23">
        <f t="shared" ref="G5" si="3">G6+F5</f>
        <v>6.1447561501934178</v>
      </c>
      <c r="H5" s="23">
        <f>'Carichi unitari  Masse e forze'!I7</f>
        <v>389.5208970438328</v>
      </c>
      <c r="I5" s="23">
        <f t="shared" si="1"/>
        <v>1617.3254365618386</v>
      </c>
      <c r="J5" s="23">
        <f t="shared" si="2"/>
        <v>14.707540993779059</v>
      </c>
      <c r="K5" s="278"/>
    </row>
    <row r="6" spans="1:11" x14ac:dyDescent="0.25">
      <c r="A6" s="202">
        <v>2</v>
      </c>
      <c r="B6" s="202"/>
      <c r="C6" s="23">
        <f>'caratteristiche della sollecita'!C8</f>
        <v>178.04987906712176</v>
      </c>
      <c r="D6" s="23">
        <f>'caratteristiche della sollecita'!D8</f>
        <v>1886.0148122866904</v>
      </c>
      <c r="E6" s="23">
        <v>874.94</v>
      </c>
      <c r="F6" s="23">
        <f t="shared" si="0"/>
        <v>2.1555933118690311</v>
      </c>
      <c r="G6" s="23">
        <f>G7+F6</f>
        <v>3.890909576929273</v>
      </c>
      <c r="H6" s="23">
        <f>'Carichi unitari  Masse e forze'!I8</f>
        <v>389.5208970438328</v>
      </c>
      <c r="I6" s="23">
        <f t="shared" si="1"/>
        <v>692.77597963336291</v>
      </c>
      <c r="J6" s="23">
        <f t="shared" si="2"/>
        <v>5.8970259363620334</v>
      </c>
      <c r="K6" s="278"/>
    </row>
    <row r="7" spans="1:11" ht="15.75" thickBot="1" x14ac:dyDescent="0.3">
      <c r="A7" s="202">
        <v>1</v>
      </c>
      <c r="B7" s="202"/>
      <c r="C7" s="23">
        <f>'caratteristiche della sollecita'!C9</f>
        <v>72.810187713310597</v>
      </c>
      <c r="D7" s="23">
        <f>'caratteristiche della sollecita'!D9</f>
        <v>1958.825000000001</v>
      </c>
      <c r="E7" s="23">
        <v>1128.8</v>
      </c>
      <c r="F7" s="23">
        <f t="shared" si="0"/>
        <v>1.7353162650602418</v>
      </c>
      <c r="G7" s="23">
        <f>F7</f>
        <v>1.7353162650602418</v>
      </c>
      <c r="H7" s="23">
        <f>'Carichi unitari  Masse e forze'!I9</f>
        <v>305.30071355759429</v>
      </c>
      <c r="I7" s="23">
        <f>C7*G7</f>
        <v>126.34870300099726</v>
      </c>
      <c r="J7" s="23">
        <f>(H7*((G7)^2))/1000</f>
        <v>0.91935892014770315</v>
      </c>
      <c r="K7" s="278"/>
    </row>
    <row r="8" spans="1:11" ht="15.75" thickBot="1" x14ac:dyDescent="0.3">
      <c r="A8" s="276" t="s">
        <v>111</v>
      </c>
      <c r="B8" s="277"/>
      <c r="I8" s="79">
        <f>SUM(I2:I7)</f>
        <v>17850.775456296622</v>
      </c>
      <c r="J8" s="80">
        <f>SUM(J2:J7)</f>
        <v>161.53988054094833</v>
      </c>
    </row>
    <row r="9" spans="1:11" x14ac:dyDescent="0.25">
      <c r="J9" s="201"/>
      <c r="K9" s="202"/>
    </row>
    <row r="10" spans="1:11" x14ac:dyDescent="0.25">
      <c r="J10" s="202"/>
      <c r="K10" s="202"/>
    </row>
    <row r="12" spans="1:11" ht="34.5" x14ac:dyDescent="0.25">
      <c r="A12" s="210" t="s">
        <v>9</v>
      </c>
      <c r="B12" s="210"/>
      <c r="C12" s="75" t="s">
        <v>31</v>
      </c>
      <c r="D12" s="77" t="s">
        <v>32</v>
      </c>
      <c r="E12" s="77" t="s">
        <v>113</v>
      </c>
      <c r="F12" s="77" t="s">
        <v>106</v>
      </c>
      <c r="G12" s="77" t="s">
        <v>107</v>
      </c>
      <c r="H12" s="77" t="s">
        <v>108</v>
      </c>
      <c r="I12" s="77" t="s">
        <v>110</v>
      </c>
      <c r="J12" s="77" t="s">
        <v>109</v>
      </c>
      <c r="K12" s="81" t="s">
        <v>114</v>
      </c>
    </row>
    <row r="13" spans="1:11" x14ac:dyDescent="0.25">
      <c r="A13" s="202" t="s">
        <v>47</v>
      </c>
      <c r="B13" s="202"/>
      <c r="C13" s="23">
        <f>C2</f>
        <v>662.88955608646222</v>
      </c>
      <c r="D13" s="23">
        <f>D2</f>
        <v>662.88955608646222</v>
      </c>
      <c r="E13" s="23">
        <v>358.04</v>
      </c>
      <c r="F13" s="23">
        <f>D13/E13</f>
        <v>1.8514399399130326</v>
      </c>
      <c r="G13" s="23">
        <f>G14+F13</f>
        <v>14.610493126185244</v>
      </c>
      <c r="H13" s="23">
        <f>H2</f>
        <v>485.74923547400618</v>
      </c>
      <c r="I13" s="23">
        <f>C13*G13</f>
        <v>9685.1433026212435</v>
      </c>
      <c r="J13" s="23">
        <f>(H13*((G13)^2))/1000</f>
        <v>103.69119373564602</v>
      </c>
      <c r="K13" s="278">
        <f>(2*PI())*(SQRT(J19/I19))</f>
        <v>0.65958354799709895</v>
      </c>
    </row>
    <row r="14" spans="1:11" x14ac:dyDescent="0.25">
      <c r="A14" s="202">
        <v>5</v>
      </c>
      <c r="B14" s="202"/>
      <c r="C14" s="23">
        <f t="shared" ref="C14:D18" si="4">C3</f>
        <v>433.51274903299213</v>
      </c>
      <c r="D14" s="23">
        <f t="shared" si="4"/>
        <v>1096.4023051194545</v>
      </c>
      <c r="E14" s="23">
        <v>425.84</v>
      </c>
      <c r="F14" s="23">
        <f t="shared" ref="F14:F18" si="5">D14/E14</f>
        <v>2.5746813477349582</v>
      </c>
      <c r="G14" s="23">
        <f>G15+F14</f>
        <v>12.759053186272212</v>
      </c>
      <c r="H14" s="23">
        <f t="shared" ref="H14:H18" si="6">H3</f>
        <v>389.5208970438328</v>
      </c>
      <c r="I14" s="23">
        <f t="shared" ref="I14:I17" si="7">C14*G14</f>
        <v>5531.2122218390241</v>
      </c>
      <c r="J14" s="23">
        <f t="shared" ref="J14:J18" si="8">(H14*((G14)^2))/1000</f>
        <v>63.411446084456905</v>
      </c>
      <c r="K14" s="278"/>
    </row>
    <row r="15" spans="1:11" x14ac:dyDescent="0.25">
      <c r="A15" s="202">
        <v>4</v>
      </c>
      <c r="B15" s="202"/>
      <c r="C15" s="23">
        <f t="shared" si="4"/>
        <v>348.35845904436871</v>
      </c>
      <c r="D15" s="23">
        <f t="shared" si="4"/>
        <v>1444.7607641638233</v>
      </c>
      <c r="E15" s="23">
        <v>540.79999999999995</v>
      </c>
      <c r="F15" s="23">
        <f t="shared" si="5"/>
        <v>2.6715250816638747</v>
      </c>
      <c r="G15" s="23">
        <f>G16+F15</f>
        <v>10.184371838537253</v>
      </c>
      <c r="H15" s="23">
        <f t="shared" si="6"/>
        <v>389.5208970438328</v>
      </c>
      <c r="I15" s="23">
        <f t="shared" si="7"/>
        <v>3547.8120800077018</v>
      </c>
      <c r="J15" s="23">
        <f>(H15*((G15)^2))/1000</f>
        <v>40.401664357171356</v>
      </c>
      <c r="K15" s="278"/>
    </row>
    <row r="16" spans="1:11" x14ac:dyDescent="0.25">
      <c r="A16" s="202">
        <v>3</v>
      </c>
      <c r="B16" s="202"/>
      <c r="C16" s="23">
        <f t="shared" si="4"/>
        <v>263.20416905574524</v>
      </c>
      <c r="D16" s="23">
        <f t="shared" si="4"/>
        <v>1707.9649332195686</v>
      </c>
      <c r="E16" s="23">
        <v>615.17999999999995</v>
      </c>
      <c r="F16" s="23">
        <f t="shared" si="5"/>
        <v>2.7763661582294104</v>
      </c>
      <c r="G16" s="23">
        <f t="shared" ref="G16" si="9">G17+F16</f>
        <v>7.5128467568733788</v>
      </c>
      <c r="H16" s="23">
        <f t="shared" si="6"/>
        <v>389.5208970438328</v>
      </c>
      <c r="I16" s="23">
        <f t="shared" si="7"/>
        <v>1977.4125878860082</v>
      </c>
      <c r="J16" s="23">
        <f t="shared" si="8"/>
        <v>21.985675948839429</v>
      </c>
      <c r="K16" s="278"/>
    </row>
    <row r="17" spans="1:11" x14ac:dyDescent="0.25">
      <c r="A17" s="202">
        <v>2</v>
      </c>
      <c r="B17" s="202"/>
      <c r="C17" s="23">
        <f t="shared" si="4"/>
        <v>178.04987906712176</v>
      </c>
      <c r="D17" s="23">
        <f t="shared" si="4"/>
        <v>1886.0148122866904</v>
      </c>
      <c r="E17" s="23">
        <v>700.88</v>
      </c>
      <c r="F17" s="23">
        <f t="shared" si="5"/>
        <v>2.6909239988110523</v>
      </c>
      <c r="G17" s="23">
        <f>G18+F17</f>
        <v>4.7364805986439684</v>
      </c>
      <c r="H17" s="23">
        <f t="shared" si="6"/>
        <v>389.5208970438328</v>
      </c>
      <c r="I17" s="23">
        <f t="shared" si="7"/>
        <v>843.3297977923271</v>
      </c>
      <c r="J17" s="23">
        <f t="shared" si="8"/>
        <v>8.7386085851617707</v>
      </c>
      <c r="K17" s="278"/>
    </row>
    <row r="18" spans="1:11" ht="15.75" thickBot="1" x14ac:dyDescent="0.3">
      <c r="A18" s="202">
        <v>1</v>
      </c>
      <c r="B18" s="202"/>
      <c r="C18" s="23">
        <f t="shared" si="4"/>
        <v>72.810187713310597</v>
      </c>
      <c r="D18" s="23">
        <f t="shared" si="4"/>
        <v>1958.825000000001</v>
      </c>
      <c r="E18" s="23">
        <v>957.6</v>
      </c>
      <c r="F18" s="23">
        <f t="shared" si="5"/>
        <v>2.0455565998329166</v>
      </c>
      <c r="G18" s="23">
        <f>F18</f>
        <v>2.0455565998329166</v>
      </c>
      <c r="H18" s="23">
        <f t="shared" si="6"/>
        <v>305.30071355759429</v>
      </c>
      <c r="I18" s="23">
        <f>C18*G18</f>
        <v>148.93736001203604</v>
      </c>
      <c r="J18" s="23">
        <f t="shared" si="8"/>
        <v>1.2774703262328653</v>
      </c>
      <c r="K18" s="278"/>
    </row>
    <row r="19" spans="1:11" ht="15.75" thickBot="1" x14ac:dyDescent="0.3">
      <c r="A19" s="276" t="s">
        <v>111</v>
      </c>
      <c r="B19" s="277"/>
      <c r="I19" s="79">
        <f>SUM(I13:I18)</f>
        <v>21733.847350158339</v>
      </c>
      <c r="J19" s="80">
        <f>SUM(J13:J18)</f>
        <v>239.50605903750832</v>
      </c>
    </row>
  </sheetData>
  <mergeCells count="20">
    <mergeCell ref="A1:B1"/>
    <mergeCell ref="A2:B2"/>
    <mergeCell ref="A3:B3"/>
    <mergeCell ref="A4:B4"/>
    <mergeCell ref="A5:B5"/>
    <mergeCell ref="A6:B6"/>
    <mergeCell ref="A7:B7"/>
    <mergeCell ref="J9:K9"/>
    <mergeCell ref="J10:K10"/>
    <mergeCell ref="A8:B8"/>
    <mergeCell ref="K2:K7"/>
    <mergeCell ref="A19:B19"/>
    <mergeCell ref="A12:B12"/>
    <mergeCell ref="A13:B13"/>
    <mergeCell ref="K13:K18"/>
    <mergeCell ref="A14:B14"/>
    <mergeCell ref="A15:B15"/>
    <mergeCell ref="A16:B16"/>
    <mergeCell ref="A17:B17"/>
    <mergeCell ref="A18:B1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K17"/>
  <sheetViews>
    <sheetView zoomScale="80" zoomScaleNormal="80" workbookViewId="0">
      <selection activeCell="H27" sqref="H27"/>
    </sheetView>
  </sheetViews>
  <sheetFormatPr defaultRowHeight="15" x14ac:dyDescent="0.25"/>
  <cols>
    <col min="1" max="1" width="2.140625" customWidth="1"/>
    <col min="7" max="7" width="7.140625" customWidth="1"/>
  </cols>
  <sheetData>
    <row r="1" spans="2:11" ht="30" customHeight="1" x14ac:dyDescent="0.25">
      <c r="B1" s="265" t="s">
        <v>9</v>
      </c>
      <c r="C1" s="266"/>
      <c r="D1" s="98" t="s">
        <v>148</v>
      </c>
      <c r="E1" s="53" t="s">
        <v>147</v>
      </c>
      <c r="F1" s="53" t="s">
        <v>149</v>
      </c>
      <c r="G1" s="53" t="s">
        <v>150</v>
      </c>
      <c r="H1" s="53" t="s">
        <v>151</v>
      </c>
      <c r="I1" s="54" t="s">
        <v>152</v>
      </c>
      <c r="J1" s="99" t="s">
        <v>169</v>
      </c>
      <c r="K1" s="100" t="s">
        <v>170</v>
      </c>
    </row>
    <row r="2" spans="2:11" x14ac:dyDescent="0.25">
      <c r="B2" s="213" t="s">
        <v>47</v>
      </c>
      <c r="C2" s="214"/>
      <c r="D2" s="27">
        <v>434.2</v>
      </c>
      <c r="E2" s="27">
        <v>358.04</v>
      </c>
      <c r="F2" s="27">
        <v>12.95</v>
      </c>
      <c r="G2" s="27">
        <v>6.41</v>
      </c>
      <c r="H2" s="27">
        <v>12.95</v>
      </c>
      <c r="I2" s="139">
        <v>6.49</v>
      </c>
      <c r="J2" s="27">
        <f>H2-F2</f>
        <v>0</v>
      </c>
      <c r="K2" s="139">
        <f>G2-I2</f>
        <v>-8.0000000000000071E-2</v>
      </c>
    </row>
    <row r="3" spans="2:11" x14ac:dyDescent="0.25">
      <c r="B3" s="213">
        <v>5</v>
      </c>
      <c r="C3" s="214"/>
      <c r="D3" s="27">
        <v>501.2</v>
      </c>
      <c r="E3" s="27">
        <v>411.94</v>
      </c>
      <c r="F3" s="27">
        <v>12.95</v>
      </c>
      <c r="G3" s="27">
        <v>6.42</v>
      </c>
      <c r="H3" s="27">
        <v>12.95</v>
      </c>
      <c r="I3" s="144">
        <v>5.9</v>
      </c>
      <c r="J3" s="27">
        <f t="shared" ref="J3:J7" si="0">H3-F3</f>
        <v>0</v>
      </c>
      <c r="K3" s="139">
        <f t="shared" ref="K3:K7" si="1">G3-I3</f>
        <v>0.51999999999999957</v>
      </c>
    </row>
    <row r="4" spans="2:11" x14ac:dyDescent="0.25">
      <c r="B4" s="213">
        <v>4</v>
      </c>
      <c r="C4" s="214"/>
      <c r="D4" s="27">
        <v>667.7</v>
      </c>
      <c r="E4" s="27">
        <v>540.79999999999995</v>
      </c>
      <c r="F4" s="27">
        <v>12.95</v>
      </c>
      <c r="G4" s="27">
        <v>6.43</v>
      </c>
      <c r="H4" s="27">
        <v>12.95</v>
      </c>
      <c r="I4" s="144">
        <v>5.9</v>
      </c>
      <c r="J4" s="27">
        <f t="shared" si="0"/>
        <v>0</v>
      </c>
      <c r="K4" s="139">
        <f t="shared" si="1"/>
        <v>0.52999999999999936</v>
      </c>
    </row>
    <row r="5" spans="2:11" x14ac:dyDescent="0.25">
      <c r="B5" s="213">
        <v>3</v>
      </c>
      <c r="C5" s="214"/>
      <c r="D5" s="27">
        <v>757.8</v>
      </c>
      <c r="E5" s="27">
        <v>615.17999999999995</v>
      </c>
      <c r="F5" s="27">
        <v>12.95</v>
      </c>
      <c r="G5" s="27">
        <v>6.46</v>
      </c>
      <c r="H5" s="27">
        <v>12.95</v>
      </c>
      <c r="I5" s="144">
        <v>5.9</v>
      </c>
      <c r="J5" s="27">
        <f t="shared" si="0"/>
        <v>0</v>
      </c>
      <c r="K5" s="139">
        <f t="shared" si="1"/>
        <v>0.55999999999999961</v>
      </c>
    </row>
    <row r="6" spans="2:11" x14ac:dyDescent="0.25">
      <c r="B6" s="213">
        <v>2</v>
      </c>
      <c r="C6" s="214"/>
      <c r="D6" s="27">
        <v>876.42</v>
      </c>
      <c r="E6" s="27">
        <v>700.88</v>
      </c>
      <c r="F6" s="27">
        <v>12.95</v>
      </c>
      <c r="G6" s="27">
        <v>6.45</v>
      </c>
      <c r="H6" s="27">
        <v>12.95</v>
      </c>
      <c r="I6" s="144">
        <v>5.9</v>
      </c>
      <c r="J6" s="27">
        <f t="shared" si="0"/>
        <v>0</v>
      </c>
      <c r="K6" s="139">
        <f t="shared" si="1"/>
        <v>0.54999999999999982</v>
      </c>
    </row>
    <row r="7" spans="2:11" ht="15.75" thickBot="1" x14ac:dyDescent="0.3">
      <c r="B7" s="223">
        <v>1</v>
      </c>
      <c r="C7" s="224"/>
      <c r="D7" s="57">
        <v>1128.8</v>
      </c>
      <c r="E7" s="57">
        <v>957.6</v>
      </c>
      <c r="F7" s="57">
        <v>12.95</v>
      </c>
      <c r="G7" s="57">
        <v>6.69</v>
      </c>
      <c r="H7" s="57">
        <v>12.95</v>
      </c>
      <c r="I7" s="58">
        <v>6.069</v>
      </c>
      <c r="J7" s="101">
        <f t="shared" si="0"/>
        <v>0</v>
      </c>
      <c r="K7" s="58">
        <f t="shared" si="1"/>
        <v>0.62100000000000044</v>
      </c>
    </row>
    <row r="10" spans="2:11" ht="15.75" thickBot="1" x14ac:dyDescent="0.3"/>
    <row r="11" spans="2:11" ht="30" x14ac:dyDescent="0.25">
      <c r="C11" s="283" t="s">
        <v>9</v>
      </c>
      <c r="D11" s="284"/>
      <c r="E11" s="115" t="s">
        <v>167</v>
      </c>
      <c r="F11" s="116" t="s">
        <v>168</v>
      </c>
    </row>
    <row r="12" spans="2:11" x14ac:dyDescent="0.25">
      <c r="C12" s="279" t="s">
        <v>47</v>
      </c>
      <c r="D12" s="280"/>
      <c r="E12" s="117">
        <f t="shared" ref="E12:F17" si="2">J2*100</f>
        <v>0</v>
      </c>
      <c r="F12" s="118">
        <f t="shared" si="2"/>
        <v>-8.0000000000000071</v>
      </c>
    </row>
    <row r="13" spans="2:11" x14ac:dyDescent="0.25">
      <c r="C13" s="279">
        <v>5</v>
      </c>
      <c r="D13" s="280"/>
      <c r="E13" s="117">
        <f t="shared" si="2"/>
        <v>0</v>
      </c>
      <c r="F13" s="118">
        <f t="shared" si="2"/>
        <v>51.999999999999957</v>
      </c>
    </row>
    <row r="14" spans="2:11" x14ac:dyDescent="0.25">
      <c r="C14" s="279">
        <v>4</v>
      </c>
      <c r="D14" s="280"/>
      <c r="E14" s="117">
        <f t="shared" si="2"/>
        <v>0</v>
      </c>
      <c r="F14" s="118">
        <f t="shared" si="2"/>
        <v>52.999999999999936</v>
      </c>
    </row>
    <row r="15" spans="2:11" x14ac:dyDescent="0.25">
      <c r="C15" s="279">
        <v>3</v>
      </c>
      <c r="D15" s="280"/>
      <c r="E15" s="117">
        <f t="shared" si="2"/>
        <v>0</v>
      </c>
      <c r="F15" s="118">
        <f t="shared" si="2"/>
        <v>55.999999999999957</v>
      </c>
    </row>
    <row r="16" spans="2:11" x14ac:dyDescent="0.25">
      <c r="C16" s="279">
        <v>2</v>
      </c>
      <c r="D16" s="280"/>
      <c r="E16" s="117">
        <f t="shared" si="2"/>
        <v>0</v>
      </c>
      <c r="F16" s="118">
        <f t="shared" si="2"/>
        <v>54.999999999999986</v>
      </c>
    </row>
    <row r="17" spans="3:6" ht="15.75" thickBot="1" x14ac:dyDescent="0.3">
      <c r="C17" s="281">
        <v>1</v>
      </c>
      <c r="D17" s="282"/>
      <c r="E17" s="119">
        <f t="shared" si="2"/>
        <v>0</v>
      </c>
      <c r="F17" s="120">
        <f t="shared" si="2"/>
        <v>62.100000000000044</v>
      </c>
    </row>
  </sheetData>
  <mergeCells count="14">
    <mergeCell ref="C16:D16"/>
    <mergeCell ref="C17:D17"/>
    <mergeCell ref="C11:D11"/>
    <mergeCell ref="C12:D12"/>
    <mergeCell ref="C13:D13"/>
    <mergeCell ref="C14:D14"/>
    <mergeCell ref="C15:D15"/>
    <mergeCell ref="B7:C7"/>
    <mergeCell ref="B1:C1"/>
    <mergeCell ref="B2:C2"/>
    <mergeCell ref="B3:C3"/>
    <mergeCell ref="B4:C4"/>
    <mergeCell ref="B5:C5"/>
    <mergeCell ref="B6:C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Carichi unitari  Masse e forze</vt:lpstr>
      <vt:lpstr>caratteristiche della sollecita</vt:lpstr>
      <vt:lpstr>Masse di Piano </vt:lpstr>
      <vt:lpstr>Carichi sulle travi</vt:lpstr>
      <vt:lpstr>Dimensionamento Trave</vt:lpstr>
      <vt:lpstr>Dimensionamento Pilastro</vt:lpstr>
      <vt:lpstr>Approcc globale semplificato</vt:lpstr>
      <vt:lpstr>Rigidezze per tipo e Periodo</vt:lpstr>
      <vt:lpstr>Bilanciamento delle rigidezze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2016-11-10T07:27:22Z</dcterms:created>
  <dcterms:modified xsi:type="dcterms:W3CDTF">2017-01-23T17:16:51Z</dcterms:modified>
</cp:coreProperties>
</file>